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uxiangchao\Desktop\"/>
    </mc:Choice>
  </mc:AlternateContent>
  <bookViews>
    <workbookView xWindow="0" yWindow="0" windowWidth="25605" windowHeight="10785"/>
  </bookViews>
  <sheets>
    <sheet name="绿色部分已锁定" sheetId="1" r:id="rId1"/>
    <sheet name="工作表2" sheetId="2" r:id="rId2"/>
    <sheet name="校准案例" sheetId="5" r:id="rId3"/>
    <sheet name="未锁定可查看公式" sheetId="10" r:id="rId4"/>
  </sheets>
  <calcPr calcId="152511"/>
</workbook>
</file>

<file path=xl/calcChain.xml><?xml version="1.0" encoding="utf-8"?>
<calcChain xmlns="http://schemas.openxmlformats.org/spreadsheetml/2006/main">
  <c r="J7" i="2" l="1"/>
  <c r="K27" i="10" l="1"/>
  <c r="K24" i="10"/>
  <c r="D24" i="10"/>
  <c r="K20" i="10"/>
  <c r="D20" i="10"/>
  <c r="D19" i="10"/>
  <c r="D18" i="10"/>
  <c r="D13" i="10"/>
  <c r="D16" i="10" s="1"/>
  <c r="K11" i="10"/>
  <c r="K26" i="10" s="1"/>
  <c r="D11" i="10"/>
  <c r="D26" i="10" s="1"/>
  <c r="K9" i="10"/>
  <c r="D9" i="10"/>
  <c r="K6" i="10"/>
  <c r="K19" i="10" s="1"/>
  <c r="D6" i="10"/>
  <c r="F5" i="10" s="1"/>
  <c r="D27" i="10" l="1"/>
  <c r="D17" i="10"/>
  <c r="K13" i="10"/>
  <c r="K16" i="10" s="1"/>
  <c r="D21" i="10"/>
  <c r="D25" i="10"/>
  <c r="K15" i="10"/>
  <c r="K18" i="10"/>
  <c r="K21" i="10"/>
  <c r="K25" i="10"/>
  <c r="D15" i="10"/>
  <c r="D23" i="10"/>
  <c r="D28" i="10" s="1"/>
  <c r="M5" i="10"/>
  <c r="K23" i="10"/>
  <c r="K27" i="1"/>
  <c r="A11" i="2"/>
  <c r="A7" i="2"/>
  <c r="K17" i="10" l="1"/>
  <c r="G20" i="2"/>
  <c r="G8" i="2"/>
  <c r="C4" i="2"/>
  <c r="J3" i="2"/>
  <c r="G3" i="2"/>
  <c r="K24" i="1"/>
  <c r="D24" i="1"/>
  <c r="D20" i="1"/>
  <c r="D19" i="1"/>
  <c r="D18" i="1"/>
  <c r="D13" i="1"/>
  <c r="D15" i="1" s="1"/>
  <c r="K11" i="1"/>
  <c r="K15" i="1" s="1"/>
  <c r="D11" i="1"/>
  <c r="K9" i="1"/>
  <c r="D9" i="1"/>
  <c r="K6" i="1"/>
  <c r="D6" i="1"/>
  <c r="F5" i="1" s="1"/>
  <c r="D16" i="1" l="1"/>
  <c r="K18" i="1"/>
  <c r="M5" i="1"/>
  <c r="D21" i="1"/>
  <c r="D26" i="1"/>
  <c r="D25" i="1"/>
  <c r="D27" i="1"/>
  <c r="K23" i="1"/>
  <c r="K26" i="1"/>
  <c r="K25" i="1"/>
  <c r="K20" i="1"/>
  <c r="K21" i="1"/>
  <c r="D23" i="1"/>
  <c r="K19" i="1"/>
  <c r="D17" i="1"/>
  <c r="K13" i="1"/>
  <c r="K16" i="1" l="1"/>
  <c r="K17" i="1"/>
</calcChain>
</file>

<file path=xl/sharedStrings.xml><?xml version="1.0" encoding="utf-8"?>
<sst xmlns="http://schemas.openxmlformats.org/spreadsheetml/2006/main" count="250" uniqueCount="90">
  <si>
    <t>升压电容计算</t>
  </si>
  <si>
    <t>效率</t>
  </si>
  <si>
    <t>輸入电压Vin</t>
  </si>
  <si>
    <t>V</t>
  </si>
  <si>
    <t>輸入电压</t>
  </si>
  <si>
    <t>輸入电流</t>
  </si>
  <si>
    <t>A</t>
  </si>
  <si>
    <t>电感电流平均值</t>
  </si>
  <si>
    <t>輸出电压Vout</t>
  </si>
  <si>
    <t>輸出电压</t>
  </si>
  <si>
    <t>輸出电流Io</t>
  </si>
  <si>
    <t>輸出电流</t>
  </si>
  <si>
    <t>輸出功率</t>
  </si>
  <si>
    <t>W</t>
  </si>
  <si>
    <t>K</t>
  </si>
  <si>
    <t>*1000</t>
  </si>
  <si>
    <t>占空比D</t>
  </si>
  <si>
    <t>紋波电流</t>
  </si>
  <si>
    <t xml:space="preserve">
</t>
  </si>
  <si>
    <t>电感纹波电流</t>
  </si>
  <si>
    <t>mV</t>
  </si>
  <si>
    <t>/1000</t>
  </si>
  <si>
    <t>uF</t>
  </si>
  <si>
    <t>1F=1000000uF</t>
  </si>
  <si>
    <t>电感感量</t>
  </si>
  <si>
    <t>uH</t>
  </si>
  <si>
    <t>电感电流有效值</t>
  </si>
  <si>
    <t>输入电容电流有效值</t>
  </si>
  <si>
    <t>输出电容电流有效值</t>
  </si>
  <si>
    <t>MOS管导通时间</t>
  </si>
  <si>
    <t>uS</t>
  </si>
  <si>
    <t>周期</t>
  </si>
  <si>
    <t>5139频率计算</t>
  </si>
  <si>
    <t>SC8801限流</t>
  </si>
  <si>
    <t>R</t>
  </si>
  <si>
    <t>K欧</t>
  </si>
  <si>
    <t>C</t>
  </si>
  <si>
    <t>PF</t>
  </si>
  <si>
    <t>I</t>
  </si>
  <si>
    <t>F</t>
  </si>
  <si>
    <t>K-Hz</t>
  </si>
  <si>
    <t>DF</t>
  </si>
  <si>
    <t>8801限流</t>
  </si>
  <si>
    <t>密码123</t>
  </si>
  <si>
    <t>SCT12A0频率</t>
  </si>
  <si>
    <t>频率</t>
  </si>
  <si>
    <t>K Hz</t>
  </si>
  <si>
    <t>输出电压</t>
  </si>
  <si>
    <t>输入电压</t>
  </si>
  <si>
    <t>限流电阻</t>
  </si>
  <si>
    <t>MOS管有效值</t>
    <phoneticPr fontId="5" type="noConversion"/>
  </si>
  <si>
    <t>MOS管有效值</t>
    <phoneticPr fontId="5" type="noConversion"/>
  </si>
  <si>
    <t>整流管有效值</t>
    <phoneticPr fontId="5" type="noConversion"/>
  </si>
  <si>
    <t>整流管有效值</t>
    <phoneticPr fontId="5" type="noConversion"/>
  </si>
  <si>
    <t>A</t>
    <phoneticPr fontId="5" type="noConversion"/>
  </si>
  <si>
    <t>A</t>
    <phoneticPr fontId="5" type="noConversion"/>
  </si>
  <si>
    <t>开平方</t>
    <phoneticPr fontId="5" type="noConversion"/>
  </si>
  <si>
    <t>平方</t>
    <phoneticPr fontId="5" type="noConversion"/>
  </si>
  <si>
    <t>整流管平均值</t>
    <phoneticPr fontId="5" type="noConversion"/>
  </si>
  <si>
    <t>A</t>
    <phoneticPr fontId="5" type="noConversion"/>
  </si>
  <si>
    <t>IO</t>
    <phoneticPr fontId="5" type="noConversion"/>
  </si>
  <si>
    <t>IO*(1-D)</t>
    <phoneticPr fontId="5" type="noConversion"/>
  </si>
  <si>
    <t>输入功率</t>
    <phoneticPr fontId="5" type="noConversion"/>
  </si>
  <si>
    <t>W</t>
    <phoneticPr fontId="5" type="noConversion"/>
  </si>
  <si>
    <t>W</t>
    <phoneticPr fontId="5" type="noConversion"/>
  </si>
  <si>
    <t>降压電容計算</t>
    <phoneticPr fontId="5" type="noConversion"/>
  </si>
  <si>
    <t>uH</t>
    <phoneticPr fontId="5" type="noConversion"/>
  </si>
  <si>
    <t>A</t>
    <phoneticPr fontId="5" type="noConversion"/>
  </si>
  <si>
    <t>输入纹波电压</t>
    <phoneticPr fontId="5" type="noConversion"/>
  </si>
  <si>
    <r>
      <t>输</t>
    </r>
    <r>
      <rPr>
        <b/>
        <sz val="11"/>
        <rFont val="楷体_GB2312"/>
        <charset val="134"/>
      </rPr>
      <t>入</t>
    </r>
    <r>
      <rPr>
        <sz val="11"/>
        <rFont val="楷体_GB2312"/>
        <charset val="134"/>
      </rPr>
      <t>电容电流有效值</t>
    </r>
    <phoneticPr fontId="5" type="noConversion"/>
  </si>
  <si>
    <r>
      <t>输</t>
    </r>
    <r>
      <rPr>
        <b/>
        <sz val="11"/>
        <rFont val="楷体_GB2312"/>
        <charset val="134"/>
      </rPr>
      <t>出</t>
    </r>
    <r>
      <rPr>
        <sz val="11"/>
        <rFont val="楷体_GB2312"/>
        <charset val="134"/>
      </rPr>
      <t>电容电流有效值</t>
    </r>
    <phoneticPr fontId="5" type="noConversion"/>
  </si>
  <si>
    <r>
      <t>输</t>
    </r>
    <r>
      <rPr>
        <b/>
        <sz val="11"/>
        <color rgb="FFFF0000"/>
        <rFont val="楷体_GB2312"/>
        <charset val="134"/>
      </rPr>
      <t>入</t>
    </r>
    <r>
      <rPr>
        <sz val="11"/>
        <color theme="1"/>
        <rFont val="楷体_GB2312"/>
        <charset val="134"/>
      </rPr>
      <t>电容容量</t>
    </r>
    <phoneticPr fontId="5" type="noConversion"/>
  </si>
  <si>
    <r>
      <t>输</t>
    </r>
    <r>
      <rPr>
        <b/>
        <sz val="11"/>
        <color rgb="FFFF0000"/>
        <rFont val="楷体_GB2312"/>
        <charset val="134"/>
      </rPr>
      <t>出</t>
    </r>
    <r>
      <rPr>
        <sz val="11"/>
        <color theme="1"/>
        <rFont val="楷体_GB2312"/>
        <charset val="134"/>
      </rPr>
      <t>电容容量</t>
    </r>
    <phoneticPr fontId="5" type="noConversion"/>
  </si>
  <si>
    <r>
      <t>输</t>
    </r>
    <r>
      <rPr>
        <b/>
        <sz val="11"/>
        <color rgb="FFFF0000"/>
        <rFont val="楷体_GB2312"/>
        <charset val="134"/>
      </rPr>
      <t>入</t>
    </r>
    <r>
      <rPr>
        <sz val="11"/>
        <color theme="1"/>
        <rFont val="楷体_GB2312"/>
        <charset val="134"/>
      </rPr>
      <t>电容容量</t>
    </r>
    <phoneticPr fontId="5" type="noConversion"/>
  </si>
  <si>
    <r>
      <t>输</t>
    </r>
    <r>
      <rPr>
        <b/>
        <sz val="11"/>
        <color rgb="FFFF0000"/>
        <rFont val="楷体_GB2312"/>
        <charset val="134"/>
      </rPr>
      <t>出</t>
    </r>
    <r>
      <rPr>
        <sz val="11"/>
        <color theme="1"/>
        <rFont val="楷体_GB2312"/>
        <charset val="134"/>
      </rPr>
      <t>电容容量</t>
    </r>
    <phoneticPr fontId="5" type="noConversion"/>
  </si>
  <si>
    <t>输入纹波电压</t>
    <phoneticPr fontId="5" type="noConversion"/>
  </si>
  <si>
    <t>输出纹波电压</t>
    <phoneticPr fontId="5" type="noConversion"/>
  </si>
  <si>
    <t>輸出纹波电压</t>
    <phoneticPr fontId="5" type="noConversion"/>
  </si>
  <si>
    <r>
      <t>电感</t>
    </r>
    <r>
      <rPr>
        <sz val="11"/>
        <color rgb="FFFF0000"/>
        <rFont val="楷体_GB2312"/>
        <charset val="134"/>
      </rPr>
      <t>峰值</t>
    </r>
    <r>
      <rPr>
        <sz val="11"/>
        <color theme="1"/>
        <rFont val="楷体_GB2312"/>
        <charset val="134"/>
      </rPr>
      <t>电流</t>
    </r>
    <phoneticPr fontId="5" type="noConversion"/>
  </si>
  <si>
    <t>頻率/F</t>
    <phoneticPr fontId="5" type="noConversion"/>
  </si>
  <si>
    <t>頻率/F</t>
    <phoneticPr fontId="5" type="noConversion"/>
  </si>
  <si>
    <t>占空比D</t>
    <phoneticPr fontId="5" type="noConversion"/>
  </si>
  <si>
    <t>纹波系数r</t>
    <phoneticPr fontId="5" type="noConversion"/>
  </si>
  <si>
    <t>紋波系数r</t>
    <phoneticPr fontId="5" type="noConversion"/>
  </si>
  <si>
    <t>VT</t>
    <phoneticPr fontId="5" type="noConversion"/>
  </si>
  <si>
    <t>输入</t>
    <phoneticPr fontId="5" type="noConversion"/>
  </si>
  <si>
    <t>圈数N</t>
    <phoneticPr fontId="5" type="noConversion"/>
  </si>
  <si>
    <t>电感系数AL=nH*N*N</t>
    <phoneticPr fontId="5" type="noConversion"/>
  </si>
  <si>
    <t>感量L=Uh</t>
    <phoneticPr fontId="5" type="noConversion"/>
  </si>
  <si>
    <t>降压电容計算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</si>
</sst>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0_);[Red]\(0\)"/>
    <numFmt numFmtId="177" formatCode="0.0_);[Red]\(0.0\)"/>
    <numFmt numFmtId="178" formatCode="0.00_);[Red]\(0.00\)"/>
    <numFmt numFmtId="179" formatCode="0.00;[Red]0.00"/>
    <numFmt numFmtId="180" formatCode="0_ ;[Red]\-0\ "/>
    <numFmt numFmtId="181" formatCode="0;[Red]0"/>
    <numFmt numFmtId="182" formatCode="0.000_);[Red]\(0.000\)"/>
    <numFmt numFmtId="183" formatCode="0.000_ "/>
    <numFmt numFmtId="184" formatCode="0.00_ "/>
    <numFmt numFmtId="185" formatCode="0.0_ "/>
  </numFmts>
  <fonts count="13">
    <font>
      <sz val="12"/>
      <color theme="1"/>
      <name val="宋体"/>
      <charset val="134"/>
      <scheme val="minor"/>
    </font>
    <font>
      <sz val="12"/>
      <color theme="1"/>
      <name val="楷体_GB2312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楷体_GB2312"/>
      <charset val="134"/>
    </font>
    <font>
      <b/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FF0000"/>
      <name val="楷体_GB2312"/>
      <charset val="134"/>
    </font>
    <font>
      <b/>
      <sz val="11"/>
      <color rgb="FFFF0000"/>
      <name val="楷体_GB2312"/>
      <charset val="134"/>
    </font>
    <font>
      <sz val="11"/>
      <name val="楷体_GB2312"/>
      <charset val="134"/>
    </font>
    <font>
      <b/>
      <sz val="11"/>
      <name val="楷体_GB2312"/>
      <charset val="134"/>
    </font>
    <font>
      <sz val="12"/>
      <color rgb="FFFF0000"/>
      <name val="宋体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11" xfId="0" applyFont="1" applyBorder="1" applyProtection="1">
      <protection locked="0"/>
    </xf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179" fontId="0" fillId="4" borderId="11" xfId="0" applyNumberFormat="1" applyFill="1" applyBorder="1" applyAlignment="1" applyProtection="1">
      <alignment horizontal="center" vertical="center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179" fontId="0" fillId="2" borderId="11" xfId="0" applyNumberFormat="1" applyFill="1" applyBorder="1" applyAlignment="1" applyProtection="1">
      <alignment horizontal="center" vertical="center"/>
      <protection locked="0"/>
    </xf>
    <xf numFmtId="0" fontId="4" fillId="5" borderId="11" xfId="0" applyFont="1" applyFill="1" applyBorder="1" applyProtection="1">
      <protection locked="0"/>
    </xf>
    <xf numFmtId="0" fontId="0" fillId="0" borderId="9" xfId="0" applyBorder="1" applyProtection="1">
      <protection locked="0"/>
    </xf>
    <xf numFmtId="0" fontId="0" fillId="2" borderId="11" xfId="0" applyFill="1" applyBorder="1" applyProtection="1">
      <protection locked="0"/>
    </xf>
    <xf numFmtId="179" fontId="0" fillId="0" borderId="11" xfId="0" applyNumberFormat="1" applyBorder="1" applyAlignment="1" applyProtection="1">
      <alignment horizontal="center" vertical="center"/>
      <protection hidden="1"/>
    </xf>
    <xf numFmtId="0" fontId="0" fillId="6" borderId="11" xfId="0" applyFill="1" applyBorder="1" applyProtection="1">
      <protection locked="0"/>
    </xf>
    <xf numFmtId="0" fontId="0" fillId="4" borderId="11" xfId="0" applyFill="1" applyBorder="1" applyProtection="1">
      <protection hidden="1"/>
    </xf>
    <xf numFmtId="0" fontId="0" fillId="0" borderId="0" xfId="0" applyFont="1" applyProtection="1">
      <protection locked="0"/>
    </xf>
    <xf numFmtId="0" fontId="1" fillId="0" borderId="0" xfId="0" applyFont="1" applyProtection="1">
      <protection locked="0"/>
    </xf>
    <xf numFmtId="178" fontId="0" fillId="0" borderId="0" xfId="0" applyNumberFormat="1" applyFont="1" applyAlignment="1" applyProtection="1">
      <alignment horizontal="center"/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1" xfId="0" applyFont="1" applyBorder="1" applyProtection="1">
      <protection locked="0"/>
    </xf>
    <xf numFmtId="0" fontId="0" fillId="0" borderId="2" xfId="0" applyFont="1" applyBorder="1" applyProtection="1">
      <protection locked="0"/>
    </xf>
    <xf numFmtId="0" fontId="0" fillId="0" borderId="4" xfId="0" applyFont="1" applyBorder="1" applyProtection="1">
      <protection locked="0"/>
    </xf>
    <xf numFmtId="178" fontId="0" fillId="0" borderId="0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0" fillId="0" borderId="8" xfId="0" applyFont="1" applyBorder="1" applyProtection="1">
      <protection locked="0"/>
    </xf>
    <xf numFmtId="0" fontId="0" fillId="0" borderId="9" xfId="0" applyFont="1" applyBorder="1" applyAlignment="1" applyProtection="1">
      <alignment horizontal="center"/>
      <protection locked="0"/>
    </xf>
    <xf numFmtId="178" fontId="0" fillId="2" borderId="11" xfId="0" applyNumberFormat="1" applyFont="1" applyFill="1" applyBorder="1" applyAlignment="1" applyProtection="1">
      <alignment horizontal="center"/>
      <protection locked="0"/>
    </xf>
    <xf numFmtId="177" fontId="0" fillId="2" borderId="11" xfId="0" applyNumberFormat="1" applyFont="1" applyFill="1" applyBorder="1" applyAlignment="1" applyProtection="1">
      <alignment horizontal="center"/>
      <protection locked="0"/>
    </xf>
    <xf numFmtId="176" fontId="0" fillId="2" borderId="11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wrapText="1"/>
      <protection locked="0"/>
    </xf>
    <xf numFmtId="180" fontId="0" fillId="2" borderId="11" xfId="0" applyNumberFormat="1" applyFont="1" applyFill="1" applyBorder="1" applyAlignment="1" applyProtection="1">
      <alignment horizontal="center"/>
      <protection locked="0"/>
    </xf>
    <xf numFmtId="0" fontId="0" fillId="0" borderId="13" xfId="0" applyFont="1" applyBorder="1" applyAlignment="1" applyProtection="1">
      <alignment horizontal="center"/>
      <protection locked="0"/>
    </xf>
    <xf numFmtId="0" fontId="0" fillId="0" borderId="9" xfId="0" applyFont="1" applyFill="1" applyBorder="1" applyAlignment="1" applyProtection="1">
      <alignment horizontal="center"/>
      <protection locked="0"/>
    </xf>
    <xf numFmtId="0" fontId="3" fillId="0" borderId="10" xfId="0" applyFont="1" applyFill="1" applyBorder="1" applyProtection="1">
      <protection locked="0"/>
    </xf>
    <xf numFmtId="0" fontId="0" fillId="3" borderId="8" xfId="0" applyFont="1" applyFill="1" applyBorder="1" applyProtection="1">
      <protection locked="0"/>
    </xf>
    <xf numFmtId="181" fontId="0" fillId="2" borderId="11" xfId="0" applyNumberFormat="1" applyFont="1" applyFill="1" applyBorder="1" applyAlignment="1" applyProtection="1">
      <alignment horizontal="center"/>
      <protection locked="0"/>
    </xf>
    <xf numFmtId="0" fontId="0" fillId="0" borderId="5" xfId="0" applyFont="1" applyBorder="1" applyProtection="1">
      <protection locked="0"/>
    </xf>
    <xf numFmtId="0" fontId="0" fillId="0" borderId="6" xfId="0" applyFont="1" applyBorder="1" applyProtection="1">
      <protection locked="0"/>
    </xf>
    <xf numFmtId="0" fontId="1" fillId="0" borderId="5" xfId="0" applyFont="1" applyBorder="1" applyProtection="1">
      <protection locked="0"/>
    </xf>
    <xf numFmtId="178" fontId="0" fillId="0" borderId="6" xfId="0" applyNumberFormat="1" applyFont="1" applyBorder="1" applyAlignment="1" applyProtection="1">
      <alignment horizontal="center"/>
      <protection locked="0"/>
    </xf>
    <xf numFmtId="0" fontId="0" fillId="0" borderId="7" xfId="0" applyFont="1" applyBorder="1" applyProtection="1">
      <protection locked="0"/>
    </xf>
    <xf numFmtId="0" fontId="1" fillId="0" borderId="16" xfId="0" applyFont="1" applyBorder="1" applyProtection="1">
      <protection locked="0"/>
    </xf>
    <xf numFmtId="0" fontId="0" fillId="0" borderId="16" xfId="0" applyFont="1" applyBorder="1" applyAlignment="1" applyProtection="1">
      <alignment horizontal="center"/>
      <protection locked="0"/>
    </xf>
    <xf numFmtId="0" fontId="0" fillId="2" borderId="11" xfId="0" applyFont="1" applyFill="1" applyBorder="1" applyAlignment="1" applyProtection="1">
      <alignment horizontal="center"/>
      <protection locked="0"/>
    </xf>
    <xf numFmtId="0" fontId="1" fillId="0" borderId="0" xfId="0" applyFont="1" applyBorder="1" applyProtection="1">
      <protection locked="0"/>
    </xf>
    <xf numFmtId="0" fontId="1" fillId="0" borderId="6" xfId="0" applyFont="1" applyBorder="1" applyProtection="1">
      <protection locked="0"/>
    </xf>
    <xf numFmtId="0" fontId="0" fillId="0" borderId="6" xfId="0" applyFont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6" fillId="0" borderId="11" xfId="0" applyFont="1" applyBorder="1" applyAlignment="1" applyProtection="1">
      <alignment horizontal="center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3" fillId="0" borderId="10" xfId="0" applyFont="1" applyBorder="1" applyProtection="1">
      <protection locked="0"/>
    </xf>
    <xf numFmtId="0" fontId="3" fillId="0" borderId="14" xfId="0" applyFont="1" applyFill="1" applyBorder="1" applyProtection="1">
      <protection locked="0"/>
    </xf>
    <xf numFmtId="0" fontId="3" fillId="0" borderId="11" xfId="0" applyFont="1" applyBorder="1" applyProtection="1">
      <protection locked="0"/>
    </xf>
    <xf numFmtId="0" fontId="3" fillId="0" borderId="17" xfId="0" applyFont="1" applyBorder="1" applyProtection="1">
      <protection locked="0"/>
    </xf>
    <xf numFmtId="0" fontId="3" fillId="0" borderId="17" xfId="0" applyFont="1" applyFill="1" applyBorder="1" applyProtection="1">
      <protection locked="0"/>
    </xf>
    <xf numFmtId="0" fontId="3" fillId="0" borderId="11" xfId="0" applyFont="1" applyFill="1" applyBorder="1" applyProtection="1"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Border="1" applyProtection="1">
      <protection locked="0"/>
    </xf>
    <xf numFmtId="178" fontId="0" fillId="0" borderId="2" xfId="0" applyNumberFormat="1" applyFont="1" applyBorder="1" applyAlignment="1" applyProtection="1">
      <alignment horizontal="center"/>
      <protection locked="0"/>
    </xf>
    <xf numFmtId="0" fontId="0" fillId="0" borderId="3" xfId="0" applyFont="1" applyBorder="1" applyProtection="1">
      <protection locked="0"/>
    </xf>
    <xf numFmtId="0" fontId="3" fillId="0" borderId="20" xfId="0" applyFont="1" applyBorder="1" applyProtection="1">
      <protection locked="0"/>
    </xf>
    <xf numFmtId="0" fontId="6" fillId="0" borderId="21" xfId="0" applyFont="1" applyBorder="1" applyProtection="1">
      <protection locked="0"/>
    </xf>
    <xf numFmtId="0" fontId="0" fillId="0" borderId="22" xfId="0" applyFont="1" applyBorder="1" applyProtection="1">
      <protection locked="0"/>
    </xf>
    <xf numFmtId="0" fontId="0" fillId="0" borderId="17" xfId="0" applyFont="1" applyBorder="1" applyAlignment="1" applyProtection="1">
      <alignment horizontal="center"/>
      <protection locked="0"/>
    </xf>
    <xf numFmtId="0" fontId="0" fillId="0" borderId="17" xfId="0" applyFont="1" applyFill="1" applyBorder="1" applyAlignment="1" applyProtection="1">
      <alignment horizontal="center"/>
      <protection locked="0"/>
    </xf>
    <xf numFmtId="0" fontId="0" fillId="0" borderId="23" xfId="0" applyFont="1" applyFill="1" applyBorder="1" applyAlignment="1" applyProtection="1">
      <alignment horizontal="center"/>
      <protection locked="0"/>
    </xf>
    <xf numFmtId="0" fontId="3" fillId="0" borderId="24" xfId="0" applyFont="1" applyBorder="1" applyProtection="1">
      <protection locked="0"/>
    </xf>
    <xf numFmtId="0" fontId="6" fillId="0" borderId="0" xfId="0" applyFont="1" applyBorder="1" applyProtection="1">
      <protection locked="0"/>
    </xf>
    <xf numFmtId="0" fontId="6" fillId="0" borderId="0" xfId="0" applyFont="1" applyProtection="1"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0" borderId="11" xfId="0" applyFont="1" applyBorder="1" applyProtection="1">
      <protection locked="0"/>
    </xf>
    <xf numFmtId="184" fontId="0" fillId="2" borderId="11" xfId="0" applyNumberFormat="1" applyFont="1" applyFill="1" applyBorder="1" applyAlignment="1" applyProtection="1">
      <alignment horizontal="center"/>
      <protection locked="0"/>
    </xf>
    <xf numFmtId="185" fontId="0" fillId="2" borderId="11" xfId="0" applyNumberFormat="1" applyFont="1" applyFill="1" applyBorder="1" applyAlignment="1" applyProtection="1">
      <alignment horizontal="center"/>
      <protection locked="0"/>
    </xf>
    <xf numFmtId="184" fontId="0" fillId="4" borderId="11" xfId="0" applyNumberFormat="1" applyFont="1" applyFill="1" applyBorder="1" applyAlignment="1" applyProtection="1">
      <alignment horizontal="center"/>
      <protection hidden="1"/>
    </xf>
    <xf numFmtId="185" fontId="0" fillId="4" borderId="11" xfId="0" applyNumberFormat="1" applyFont="1" applyFill="1" applyBorder="1" applyAlignment="1" applyProtection="1">
      <alignment horizontal="center"/>
      <protection hidden="1"/>
    </xf>
    <xf numFmtId="183" fontId="0" fillId="4" borderId="11" xfId="0" applyNumberFormat="1" applyFont="1" applyFill="1" applyBorder="1" applyAlignment="1" applyProtection="1">
      <alignment horizontal="center"/>
      <protection hidden="1"/>
    </xf>
    <xf numFmtId="177" fontId="0" fillId="4" borderId="11" xfId="0" applyNumberFormat="1" applyFont="1" applyFill="1" applyBorder="1" applyAlignment="1" applyProtection="1">
      <alignment horizontal="center"/>
      <protection hidden="1"/>
    </xf>
    <xf numFmtId="178" fontId="0" fillId="4" borderId="11" xfId="0" applyNumberFormat="1" applyFont="1" applyFill="1" applyBorder="1" applyAlignment="1" applyProtection="1">
      <alignment horizontal="center"/>
      <protection hidden="1"/>
    </xf>
    <xf numFmtId="182" fontId="0" fillId="4" borderId="11" xfId="0" applyNumberFormat="1" applyFont="1" applyFill="1" applyBorder="1" applyAlignment="1" applyProtection="1">
      <alignment horizontal="center"/>
      <protection hidden="1"/>
    </xf>
    <xf numFmtId="178" fontId="0" fillId="4" borderId="18" xfId="0" applyNumberFormat="1" applyFont="1" applyFill="1" applyBorder="1" applyAlignment="1" applyProtection="1">
      <alignment horizontal="center"/>
      <protection hidden="1"/>
    </xf>
    <xf numFmtId="178" fontId="0" fillId="4" borderId="21" xfId="0" applyNumberFormat="1" applyFont="1" applyFill="1" applyBorder="1" applyAlignment="1" applyProtection="1">
      <alignment horizontal="center"/>
      <protection hidden="1"/>
    </xf>
    <xf numFmtId="178" fontId="0" fillId="4" borderId="0" xfId="0" applyNumberFormat="1" applyFont="1" applyFill="1" applyBorder="1" applyAlignment="1" applyProtection="1">
      <alignment horizontal="center"/>
      <protection hidden="1"/>
    </xf>
    <xf numFmtId="184" fontId="7" fillId="4" borderId="11" xfId="0" applyNumberFormat="1" applyFont="1" applyFill="1" applyBorder="1" applyAlignment="1" applyProtection="1">
      <alignment horizontal="center"/>
      <protection hidden="1"/>
    </xf>
    <xf numFmtId="0" fontId="6" fillId="2" borderId="11" xfId="0" applyFont="1" applyFill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10" fillId="0" borderId="10" xfId="0" applyFont="1" applyFill="1" applyBorder="1" applyAlignment="1" applyProtection="1">
      <alignment horizontal="left" vertical="center" wrapText="1"/>
      <protection locked="0"/>
    </xf>
    <xf numFmtId="0" fontId="0" fillId="0" borderId="19" xfId="0" applyFont="1" applyBorder="1" applyAlignment="1" applyProtection="1">
      <alignment horizontal="center"/>
      <protection locked="0"/>
    </xf>
    <xf numFmtId="0" fontId="0" fillId="0" borderId="11" xfId="0" applyFont="1" applyBorder="1" applyAlignment="1" applyProtection="1">
      <alignment horizontal="center"/>
      <protection locked="0"/>
    </xf>
    <xf numFmtId="0" fontId="0" fillId="0" borderId="15" xfId="0" applyFont="1" applyFill="1" applyBorder="1" applyAlignment="1" applyProtection="1">
      <alignment horizontal="center"/>
      <protection locked="0"/>
    </xf>
    <xf numFmtId="0" fontId="0" fillId="0" borderId="1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49" fontId="6" fillId="0" borderId="11" xfId="0" applyNumberFormat="1" applyFont="1" applyFill="1" applyBorder="1" applyAlignment="1" applyProtection="1">
      <alignment horizontal="center"/>
      <protection locked="0"/>
    </xf>
    <xf numFmtId="182" fontId="0" fillId="2" borderId="11" xfId="0" applyNumberFormat="1" applyFont="1" applyFill="1" applyBorder="1" applyAlignment="1" applyProtection="1">
      <alignment horizontal="center"/>
      <protection locked="0"/>
    </xf>
    <xf numFmtId="183" fontId="6" fillId="2" borderId="11" xfId="0" applyNumberFormat="1" applyFont="1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/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center" vertical="center"/>
      <protection locked="0"/>
    </xf>
    <xf numFmtId="0" fontId="0" fillId="0" borderId="6" xfId="0" applyFont="1" applyBorder="1" applyAlignment="1" applyProtection="1">
      <alignment horizontal="center" vertical="center"/>
      <protection locked="0"/>
    </xf>
    <xf numFmtId="0" fontId="0" fillId="0" borderId="7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0" borderId="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12" fillId="8" borderId="1" xfId="0" applyFont="1" applyFill="1" applyBorder="1" applyProtection="1">
      <protection locked="0"/>
    </xf>
    <xf numFmtId="0" fontId="12" fillId="8" borderId="2" xfId="0" applyFont="1" applyFill="1" applyBorder="1" applyProtection="1">
      <protection locked="0"/>
    </xf>
    <xf numFmtId="0" fontId="12" fillId="8" borderId="1" xfId="0" applyFont="1" applyFill="1" applyBorder="1" applyAlignment="1" applyProtection="1">
      <alignment horizontal="center" vertical="center"/>
      <protection locked="0"/>
    </xf>
    <xf numFmtId="0" fontId="12" fillId="8" borderId="2" xfId="0" applyFont="1" applyFill="1" applyBorder="1" applyAlignment="1" applyProtection="1">
      <alignment horizontal="center" vertical="center"/>
      <protection locked="0"/>
    </xf>
    <xf numFmtId="0" fontId="12" fillId="8" borderId="3" xfId="0" applyFont="1" applyFill="1" applyBorder="1" applyAlignment="1" applyProtection="1">
      <alignment horizontal="center" vertical="center"/>
      <protection locked="0"/>
    </xf>
    <xf numFmtId="0" fontId="12" fillId="8" borderId="0" xfId="0" applyFont="1" applyFill="1" applyProtection="1">
      <protection locked="0"/>
    </xf>
    <xf numFmtId="0" fontId="12" fillId="8" borderId="4" xfId="0" applyFont="1" applyFill="1" applyBorder="1" applyProtection="1">
      <protection locked="0"/>
    </xf>
    <xf numFmtId="0" fontId="12" fillId="8" borderId="5" xfId="0" applyFont="1" applyFill="1" applyBorder="1" applyAlignment="1" applyProtection="1">
      <alignment horizontal="center" vertical="center"/>
      <protection locked="0"/>
    </xf>
    <xf numFmtId="0" fontId="12" fillId="8" borderId="6" xfId="0" applyFont="1" applyFill="1" applyBorder="1" applyAlignment="1" applyProtection="1">
      <alignment horizontal="center" vertical="center"/>
      <protection locked="0"/>
    </xf>
    <xf numFmtId="0" fontId="12" fillId="8" borderId="7" xfId="0" applyFont="1" applyFill="1" applyBorder="1" applyAlignment="1" applyProtection="1">
      <alignment horizontal="center" vertical="center"/>
      <protection locked="0"/>
    </xf>
  </cellXfs>
  <cellStyles count="1">
    <cellStyle name="常规" xfId="0" builtinId="0"/>
  </cellStyles>
  <dxfs count="0"/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276224</xdr:colOff>
      <xdr:row>28</xdr:row>
      <xdr:rowOff>76200</xdr:rowOff>
    </xdr:from>
    <xdr:to>
      <xdr:col>19</xdr:col>
      <xdr:colOff>681909</xdr:colOff>
      <xdr:row>43</xdr:row>
      <xdr:rowOff>133350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43899" y="5724525"/>
          <a:ext cx="5234860" cy="27717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12</xdr:row>
      <xdr:rowOff>95250</xdr:rowOff>
    </xdr:from>
    <xdr:to>
      <xdr:col>16</xdr:col>
      <xdr:colOff>590315</xdr:colOff>
      <xdr:row>15</xdr:row>
      <xdr:rowOff>57071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0" y="2371725"/>
          <a:ext cx="1876190" cy="542846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17</xdr:row>
      <xdr:rowOff>38101</xdr:rowOff>
    </xdr:from>
    <xdr:to>
      <xdr:col>6</xdr:col>
      <xdr:colOff>285750</xdr:colOff>
      <xdr:row>18</xdr:row>
      <xdr:rowOff>189020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24325" y="3267076"/>
          <a:ext cx="619125" cy="33189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29</xdr:row>
      <xdr:rowOff>56515</xdr:rowOff>
    </xdr:from>
    <xdr:to>
      <xdr:col>6</xdr:col>
      <xdr:colOff>412648</xdr:colOff>
      <xdr:row>37</xdr:row>
      <xdr:rowOff>66040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114415"/>
          <a:ext cx="4022090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47</xdr:row>
      <xdr:rowOff>57150</xdr:rowOff>
    </xdr:from>
    <xdr:to>
      <xdr:col>9</xdr:col>
      <xdr:colOff>1019175</xdr:colOff>
      <xdr:row>50</xdr:row>
      <xdr:rowOff>28575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24375" y="9553575"/>
          <a:ext cx="27146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</xdr:row>
      <xdr:rowOff>0</xdr:rowOff>
    </xdr:from>
    <xdr:to>
      <xdr:col>7</xdr:col>
      <xdr:colOff>280278</xdr:colOff>
      <xdr:row>45</xdr:row>
      <xdr:rowOff>142875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33450" y="7772400"/>
          <a:ext cx="463296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52</xdr:row>
      <xdr:rowOff>30480</xdr:rowOff>
    </xdr:from>
    <xdr:to>
      <xdr:col>9</xdr:col>
      <xdr:colOff>542926</xdr:colOff>
      <xdr:row>78</xdr:row>
      <xdr:rowOff>171316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4875" y="10479405"/>
          <a:ext cx="6000750" cy="5093335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</xdr:row>
      <xdr:rowOff>9524</xdr:rowOff>
    </xdr:from>
    <xdr:to>
      <xdr:col>4</xdr:col>
      <xdr:colOff>9524</xdr:colOff>
      <xdr:row>2</xdr:row>
      <xdr:rowOff>266699</xdr:rowOff>
    </xdr:to>
    <xdr:sp macro="" textlink="">
      <xdr:nvSpPr>
        <xdr:cNvPr id="7" name="文本框 6"/>
        <xdr:cNvSpPr txBox="1"/>
      </xdr:nvSpPr>
      <xdr:spPr>
        <a:xfrm>
          <a:off x="1352550" y="399415"/>
          <a:ext cx="2075815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zh-CN" altLang="en-US" sz="1100"/>
            <a:t>黄色输入，绿色自动计算</a:t>
          </a:r>
        </a:p>
      </xdr:txBody>
    </xdr:sp>
    <xdr:clientData/>
  </xdr:twoCellAnchor>
  <xdr:twoCellAnchor>
    <xdr:from>
      <xdr:col>5</xdr:col>
      <xdr:colOff>38101</xdr:colOff>
      <xdr:row>10</xdr:row>
      <xdr:rowOff>165100</xdr:rowOff>
    </xdr:from>
    <xdr:to>
      <xdr:col>7</xdr:col>
      <xdr:colOff>514350</xdr:colOff>
      <xdr:row>12</xdr:row>
      <xdr:rowOff>28575</xdr:rowOff>
    </xdr:to>
    <xdr:sp macro="" textlink="">
      <xdr:nvSpPr>
        <xdr:cNvPr id="9" name="文本框 8"/>
        <xdr:cNvSpPr txBox="1"/>
      </xdr:nvSpPr>
      <xdr:spPr>
        <a:xfrm>
          <a:off x="3810000" y="2174875"/>
          <a:ext cx="1847850" cy="244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/>
            <a:t>纹波电流按输</a:t>
          </a:r>
          <a:r>
            <a:rPr lang="zh-CN" altLang="en-US" sz="1100" b="1">
              <a:solidFill>
                <a:srgbClr val="FF0000"/>
              </a:solidFill>
            </a:rPr>
            <a:t>出</a:t>
          </a:r>
          <a:r>
            <a:rPr lang="zh-CN" altLang="en-US" sz="1100"/>
            <a:t>电流的</a:t>
          </a:r>
          <a:r>
            <a:rPr lang="en-US" altLang="zh-CN" sz="1100"/>
            <a:t>0.4</a:t>
          </a:r>
          <a:r>
            <a:rPr lang="zh-CN" altLang="en-US" sz="1100"/>
            <a:t>倍</a:t>
          </a:r>
        </a:p>
      </xdr:txBody>
    </xdr:sp>
    <xdr:clientData/>
  </xdr:twoCellAnchor>
  <xdr:twoCellAnchor>
    <xdr:from>
      <xdr:col>12</xdr:col>
      <xdr:colOff>47624</xdr:colOff>
      <xdr:row>16</xdr:row>
      <xdr:rowOff>95250</xdr:rowOff>
    </xdr:from>
    <xdr:to>
      <xdr:col>13</xdr:col>
      <xdr:colOff>571500</xdr:colOff>
      <xdr:row>19</xdr:row>
      <xdr:rowOff>95250</xdr:rowOff>
    </xdr:to>
    <xdr:sp macro="" textlink="">
      <xdr:nvSpPr>
        <xdr:cNvPr id="12" name="文本框 11"/>
        <xdr:cNvSpPr txBox="1"/>
      </xdr:nvSpPr>
      <xdr:spPr>
        <a:xfrm>
          <a:off x="8801099" y="3143250"/>
          <a:ext cx="1209676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/>
            <a:t>纹波电流按输</a:t>
          </a:r>
          <a:r>
            <a:rPr lang="zh-CN" altLang="en-US" sz="1100" b="1">
              <a:solidFill>
                <a:srgbClr val="FF0000"/>
              </a:solidFill>
            </a:rPr>
            <a:t>入</a:t>
          </a:r>
          <a:r>
            <a:rPr lang="zh-CN" altLang="en-US" sz="1100"/>
            <a:t>电流的</a:t>
          </a:r>
          <a:r>
            <a:rPr lang="en-US" altLang="zh-CN" sz="1100"/>
            <a:t>0.4</a:t>
          </a:r>
          <a:r>
            <a:rPr lang="zh-CN" altLang="en-US" sz="1100"/>
            <a:t>倍</a:t>
          </a:r>
        </a:p>
      </xdr:txBody>
    </xdr:sp>
    <xdr:clientData/>
  </xdr:twoCellAnchor>
  <xdr:twoCellAnchor>
    <xdr:from>
      <xdr:col>1</xdr:col>
      <xdr:colOff>390525</xdr:colOff>
      <xdr:row>47</xdr:row>
      <xdr:rowOff>38100</xdr:rowOff>
    </xdr:from>
    <xdr:to>
      <xdr:col>5</xdr:col>
      <xdr:colOff>453390</xdr:colOff>
      <xdr:row>51</xdr:row>
      <xdr:rowOff>74930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76325" y="9534525"/>
          <a:ext cx="3148965" cy="798830"/>
        </a:xfrm>
        <a:prstGeom prst="snip1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581025</xdr:colOff>
      <xdr:row>20</xdr:row>
      <xdr:rowOff>123825</xdr:rowOff>
    </xdr:from>
    <xdr:to>
      <xdr:col>17</xdr:col>
      <xdr:colOff>285750</xdr:colOff>
      <xdr:row>24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9334500" y="4029075"/>
          <a:ext cx="3133725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57150</xdr:colOff>
      <xdr:row>31</xdr:row>
      <xdr:rowOff>38100</xdr:rowOff>
    </xdr:from>
    <xdr:to>
      <xdr:col>10</xdr:col>
      <xdr:colOff>514062</xdr:colOff>
      <xdr:row>36</xdr:row>
      <xdr:rowOff>161796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05500" y="6229350"/>
          <a:ext cx="2304762" cy="10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12700</xdr:rowOff>
    </xdr:from>
    <xdr:to>
      <xdr:col>9</xdr:col>
      <xdr:colOff>295910</xdr:colOff>
      <xdr:row>36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584700"/>
          <a:ext cx="6801485" cy="2349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9525</xdr:colOff>
      <xdr:row>8</xdr:row>
      <xdr:rowOff>47625</xdr:rowOff>
    </xdr:from>
    <xdr:to>
      <xdr:col>12</xdr:col>
      <xdr:colOff>9118</xdr:colOff>
      <xdr:row>16</xdr:row>
      <xdr:rowOff>76015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0" y="1495425"/>
          <a:ext cx="3257143" cy="1476190"/>
        </a:xfrm>
        <a:prstGeom prst="rect">
          <a:avLst/>
        </a:prstGeom>
      </xdr:spPr>
    </xdr:pic>
    <xdr:clientData/>
  </xdr:twoCellAnchor>
  <xdr:oneCellAnchor>
    <xdr:from>
      <xdr:col>5</xdr:col>
      <xdr:colOff>352424</xdr:colOff>
      <xdr:row>11</xdr:row>
      <xdr:rowOff>9526</xdr:rowOff>
    </xdr:from>
    <xdr:ext cx="1790701" cy="285750"/>
    <xdr:sp macro="" textlink="">
      <xdr:nvSpPr>
        <xdr:cNvPr id="4" name="文本框 3"/>
        <xdr:cNvSpPr txBox="1"/>
      </xdr:nvSpPr>
      <xdr:spPr>
        <a:xfrm>
          <a:off x="4057649" y="2000251"/>
          <a:ext cx="1790701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黄色输入，绿色自动计算</a:t>
          </a:r>
          <a:endParaRPr lang="zh-CN" altLang="zh-CN">
            <a:effectLst/>
          </a:endParaRPr>
        </a:p>
        <a:p>
          <a:endParaRPr lang="zh-CN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29</xdr:row>
      <xdr:rowOff>116840</xdr:rowOff>
    </xdr:from>
    <xdr:to>
      <xdr:col>15</xdr:col>
      <xdr:colOff>586105</xdr:colOff>
      <xdr:row>61</xdr:row>
      <xdr:rowOff>141605</xdr:rowOff>
    </xdr:to>
    <xdr:pic>
      <xdr:nvPicPr>
        <xdr:cNvPr id="3" name="图片 2" descr="升压电感计算校准案例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0" y="5641340"/>
          <a:ext cx="10384155" cy="612076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45085</xdr:rowOff>
    </xdr:from>
    <xdr:to>
      <xdr:col>12</xdr:col>
      <xdr:colOff>603885</xdr:colOff>
      <xdr:row>27</xdr:row>
      <xdr:rowOff>165735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45085"/>
          <a:ext cx="8261985" cy="5264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276224</xdr:colOff>
      <xdr:row>28</xdr:row>
      <xdr:rowOff>76200</xdr:rowOff>
    </xdr:from>
    <xdr:to>
      <xdr:col>19</xdr:col>
      <xdr:colOff>681909</xdr:colOff>
      <xdr:row>43</xdr:row>
      <xdr:rowOff>133350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667749" y="5438775"/>
          <a:ext cx="5234860" cy="27717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12</xdr:row>
      <xdr:rowOff>95250</xdr:rowOff>
    </xdr:from>
    <xdr:to>
      <xdr:col>16</xdr:col>
      <xdr:colOff>590315</xdr:colOff>
      <xdr:row>15</xdr:row>
      <xdr:rowOff>57071</xdr:rowOff>
    </xdr:to>
    <xdr:pic>
      <xdr:nvPicPr>
        <xdr:cNvPr id="3" name="圖片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10800" y="2381250"/>
          <a:ext cx="1876190" cy="542846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17</xdr:row>
      <xdr:rowOff>38101</xdr:rowOff>
    </xdr:from>
    <xdr:to>
      <xdr:col>6</xdr:col>
      <xdr:colOff>285750</xdr:colOff>
      <xdr:row>18</xdr:row>
      <xdr:rowOff>189020</xdr:rowOff>
    </xdr:to>
    <xdr:pic>
      <xdr:nvPicPr>
        <xdr:cNvPr id="4" name="圖片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7200" y="3267076"/>
          <a:ext cx="619125" cy="3318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28</xdr:row>
      <xdr:rowOff>66040</xdr:rowOff>
    </xdr:from>
    <xdr:to>
      <xdr:col>6</xdr:col>
      <xdr:colOff>260248</xdr:colOff>
      <xdr:row>36</xdr:row>
      <xdr:rowOff>75565</xdr:rowOff>
    </xdr:to>
    <xdr:pic>
      <xdr:nvPicPr>
        <xdr:cNvPr id="5" name="圖片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5428615"/>
          <a:ext cx="4022623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47</xdr:row>
      <xdr:rowOff>57150</xdr:rowOff>
    </xdr:from>
    <xdr:to>
      <xdr:col>9</xdr:col>
      <xdr:colOff>1019175</xdr:colOff>
      <xdr:row>50</xdr:row>
      <xdr:rowOff>28575</xdr:rowOff>
    </xdr:to>
    <xdr:pic>
      <xdr:nvPicPr>
        <xdr:cNvPr id="6" name="圖片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7250" y="8858250"/>
          <a:ext cx="271462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38</xdr:row>
      <xdr:rowOff>0</xdr:rowOff>
    </xdr:from>
    <xdr:to>
      <xdr:col>7</xdr:col>
      <xdr:colOff>280278</xdr:colOff>
      <xdr:row>45</xdr:row>
      <xdr:rowOff>133350</xdr:rowOff>
    </xdr:to>
    <xdr:pic>
      <xdr:nvPicPr>
        <xdr:cNvPr id="7" name="圖片 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33450" y="7172325"/>
          <a:ext cx="4633203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52</xdr:row>
      <xdr:rowOff>30480</xdr:rowOff>
    </xdr:from>
    <xdr:to>
      <xdr:col>9</xdr:col>
      <xdr:colOff>542926</xdr:colOff>
      <xdr:row>78</xdr:row>
      <xdr:rowOff>171316</xdr:rowOff>
    </xdr:to>
    <xdr:pic>
      <xdr:nvPicPr>
        <xdr:cNvPr id="8" name="圖片 1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4875" y="9736455"/>
          <a:ext cx="6000751" cy="4846186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2</xdr:row>
      <xdr:rowOff>9524</xdr:rowOff>
    </xdr:from>
    <xdr:to>
      <xdr:col>4</xdr:col>
      <xdr:colOff>9524</xdr:colOff>
      <xdr:row>2</xdr:row>
      <xdr:rowOff>266699</xdr:rowOff>
    </xdr:to>
    <xdr:sp macro="" textlink="">
      <xdr:nvSpPr>
        <xdr:cNvPr id="9" name="文本框 8"/>
        <xdr:cNvSpPr txBox="1"/>
      </xdr:nvSpPr>
      <xdr:spPr>
        <a:xfrm>
          <a:off x="1352550" y="380999"/>
          <a:ext cx="2219324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zh-CN" altLang="en-US" sz="1100"/>
            <a:t>黄色输入，绿色自动计算</a:t>
          </a:r>
        </a:p>
      </xdr:txBody>
    </xdr:sp>
    <xdr:clientData/>
  </xdr:twoCellAnchor>
  <xdr:twoCellAnchor>
    <xdr:from>
      <xdr:col>5</xdr:col>
      <xdr:colOff>38101</xdr:colOff>
      <xdr:row>10</xdr:row>
      <xdr:rowOff>165100</xdr:rowOff>
    </xdr:from>
    <xdr:to>
      <xdr:col>7</xdr:col>
      <xdr:colOff>514350</xdr:colOff>
      <xdr:row>12</xdr:row>
      <xdr:rowOff>28575</xdr:rowOff>
    </xdr:to>
    <xdr:sp macro="" textlink="">
      <xdr:nvSpPr>
        <xdr:cNvPr id="10" name="文本框 9"/>
        <xdr:cNvSpPr txBox="1"/>
      </xdr:nvSpPr>
      <xdr:spPr>
        <a:xfrm>
          <a:off x="3952876" y="2089150"/>
          <a:ext cx="1847849" cy="225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/>
            <a:t>纹波电流按输</a:t>
          </a:r>
          <a:r>
            <a:rPr lang="zh-CN" altLang="en-US" sz="1100" b="1">
              <a:solidFill>
                <a:srgbClr val="FF0000"/>
              </a:solidFill>
            </a:rPr>
            <a:t>出</a:t>
          </a:r>
          <a:r>
            <a:rPr lang="zh-CN" altLang="en-US" sz="1100"/>
            <a:t>电流的</a:t>
          </a:r>
          <a:r>
            <a:rPr lang="en-US" altLang="zh-CN" sz="1100"/>
            <a:t>0.4</a:t>
          </a:r>
          <a:r>
            <a:rPr lang="zh-CN" altLang="en-US" sz="1100"/>
            <a:t>倍</a:t>
          </a:r>
        </a:p>
      </xdr:txBody>
    </xdr:sp>
    <xdr:clientData/>
  </xdr:twoCellAnchor>
  <xdr:twoCellAnchor>
    <xdr:from>
      <xdr:col>12</xdr:col>
      <xdr:colOff>47624</xdr:colOff>
      <xdr:row>16</xdr:row>
      <xdr:rowOff>95250</xdr:rowOff>
    </xdr:from>
    <xdr:to>
      <xdr:col>13</xdr:col>
      <xdr:colOff>266699</xdr:colOff>
      <xdr:row>19</xdr:row>
      <xdr:rowOff>95250</xdr:rowOff>
    </xdr:to>
    <xdr:sp macro="" textlink="">
      <xdr:nvSpPr>
        <xdr:cNvPr id="11" name="文本框 10"/>
        <xdr:cNvSpPr txBox="1"/>
      </xdr:nvSpPr>
      <xdr:spPr>
        <a:xfrm>
          <a:off x="8801099" y="3143250"/>
          <a:ext cx="90487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/>
            <a:t>纹波电流按输</a:t>
          </a:r>
          <a:r>
            <a:rPr lang="zh-CN" altLang="en-US" sz="1100" b="1">
              <a:solidFill>
                <a:srgbClr val="FF0000"/>
              </a:solidFill>
            </a:rPr>
            <a:t>入</a:t>
          </a:r>
          <a:r>
            <a:rPr lang="zh-CN" altLang="en-US" sz="1100"/>
            <a:t>电流的</a:t>
          </a:r>
          <a:r>
            <a:rPr lang="en-US" altLang="zh-CN" sz="1100"/>
            <a:t>0.4</a:t>
          </a:r>
          <a:r>
            <a:rPr lang="zh-CN" altLang="en-US" sz="1100"/>
            <a:t>倍</a:t>
          </a:r>
        </a:p>
      </xdr:txBody>
    </xdr:sp>
    <xdr:clientData/>
  </xdr:twoCellAnchor>
  <xdr:twoCellAnchor>
    <xdr:from>
      <xdr:col>1</xdr:col>
      <xdr:colOff>390525</xdr:colOff>
      <xdr:row>47</xdr:row>
      <xdr:rowOff>38100</xdr:rowOff>
    </xdr:from>
    <xdr:to>
      <xdr:col>5</xdr:col>
      <xdr:colOff>453390</xdr:colOff>
      <xdr:row>51</xdr:row>
      <xdr:rowOff>74930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76325" y="8839200"/>
          <a:ext cx="3291840" cy="760730"/>
        </a:xfrm>
        <a:prstGeom prst="snip1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9525</xdr:colOff>
      <xdr:row>20</xdr:row>
      <xdr:rowOff>171450</xdr:rowOff>
    </xdr:from>
    <xdr:to>
      <xdr:col>18</xdr:col>
      <xdr:colOff>47625</xdr:colOff>
      <xdr:row>25</xdr:row>
      <xdr:rowOff>9525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9448800" y="4076700"/>
          <a:ext cx="3133725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57150</xdr:colOff>
      <xdr:row>31</xdr:row>
      <xdr:rowOff>38100</xdr:rowOff>
    </xdr:from>
    <xdr:to>
      <xdr:col>10</xdr:col>
      <xdr:colOff>514062</xdr:colOff>
      <xdr:row>36</xdr:row>
      <xdr:rowOff>161796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15025" y="5943600"/>
          <a:ext cx="2304762" cy="10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abSelected="1" workbookViewId="0">
      <selection activeCell="S20" sqref="S20"/>
    </sheetView>
  </sheetViews>
  <sheetFormatPr defaultColWidth="9" defaultRowHeight="14.25"/>
  <cols>
    <col min="1" max="1" width="9" style="15"/>
    <col min="2" max="2" width="6.5" style="15" customWidth="1"/>
    <col min="3" max="3" width="18.125" style="16" customWidth="1"/>
    <col min="4" max="4" width="13.125" style="17" customWidth="1"/>
    <col min="5" max="5" width="4.625" style="18" customWidth="1"/>
    <col min="6" max="7" width="9" style="15"/>
    <col min="8" max="8" width="7.5" style="15" customWidth="1"/>
    <col min="9" max="9" width="6.625" style="15" customWidth="1"/>
    <col min="10" max="10" width="17.625" style="16" customWidth="1"/>
    <col min="11" max="11" width="9" style="18"/>
    <col min="12" max="12" width="4.75" style="18" customWidth="1"/>
    <col min="13" max="17" width="9" style="15"/>
    <col min="18" max="18" width="4.625" style="15" customWidth="1"/>
    <col min="19" max="16384" width="9" style="15"/>
  </cols>
  <sheetData>
    <row r="1" spans="1:18">
      <c r="A1" s="19"/>
      <c r="B1" s="20"/>
      <c r="C1" s="103" t="s">
        <v>89</v>
      </c>
      <c r="D1" s="99"/>
      <c r="E1" s="99"/>
      <c r="F1" s="99"/>
      <c r="G1" s="99"/>
      <c r="H1" s="100"/>
      <c r="I1" s="99" t="s">
        <v>0</v>
      </c>
      <c r="J1" s="99"/>
      <c r="K1" s="99"/>
      <c r="L1" s="99"/>
      <c r="M1" s="99"/>
      <c r="N1" s="99"/>
      <c r="O1" s="99"/>
      <c r="P1" s="99"/>
      <c r="Q1" s="99"/>
      <c r="R1" s="100"/>
    </row>
    <row r="2" spans="1:18" ht="15" thickBot="1">
      <c r="A2" s="21"/>
      <c r="C2" s="104"/>
      <c r="D2" s="101"/>
      <c r="E2" s="101"/>
      <c r="F2" s="101"/>
      <c r="G2" s="101"/>
      <c r="H2" s="102"/>
      <c r="I2" s="101"/>
      <c r="J2" s="101"/>
      <c r="K2" s="101"/>
      <c r="L2" s="101"/>
      <c r="M2" s="101"/>
      <c r="N2" s="101"/>
      <c r="O2" s="101"/>
      <c r="P2" s="101"/>
      <c r="Q2" s="101"/>
      <c r="R2" s="102"/>
    </row>
    <row r="3" spans="1:18" ht="22.5" customHeight="1">
      <c r="A3" s="21"/>
      <c r="C3" s="57"/>
      <c r="D3" s="58"/>
      <c r="E3" s="86"/>
      <c r="F3" s="20"/>
      <c r="G3" s="20"/>
      <c r="H3" s="59"/>
      <c r="I3" s="62"/>
      <c r="J3" s="41"/>
      <c r="K3" s="42"/>
      <c r="L3" s="42"/>
      <c r="R3" s="24"/>
    </row>
    <row r="4" spans="1:18">
      <c r="A4" s="21"/>
      <c r="B4" s="25">
        <v>4</v>
      </c>
      <c r="C4" s="50" t="s">
        <v>1</v>
      </c>
      <c r="D4" s="92">
        <v>0.93</v>
      </c>
      <c r="E4" s="87"/>
      <c r="F4" s="69" t="s">
        <v>62</v>
      </c>
      <c r="G4" s="23"/>
      <c r="H4" s="24"/>
      <c r="I4" s="63">
        <v>4</v>
      </c>
      <c r="J4" s="53" t="s">
        <v>1</v>
      </c>
      <c r="K4" s="93">
        <v>0.92300000000000004</v>
      </c>
      <c r="L4" s="87"/>
      <c r="M4" s="69" t="s">
        <v>62</v>
      </c>
      <c r="R4" s="24"/>
    </row>
    <row r="5" spans="1:18">
      <c r="A5" s="21"/>
      <c r="B5" s="25">
        <v>5</v>
      </c>
      <c r="C5" s="50" t="s">
        <v>2</v>
      </c>
      <c r="D5" s="27">
        <v>24</v>
      </c>
      <c r="E5" s="87" t="s">
        <v>3</v>
      </c>
      <c r="F5" s="82">
        <f>D5*D6</f>
        <v>16.129032258064516</v>
      </c>
      <c r="G5" s="67" t="s">
        <v>64</v>
      </c>
      <c r="H5" s="24"/>
      <c r="I5" s="63">
        <v>5</v>
      </c>
      <c r="J5" s="53" t="s">
        <v>4</v>
      </c>
      <c r="K5" s="83">
        <v>3</v>
      </c>
      <c r="L5" s="87" t="s">
        <v>3</v>
      </c>
      <c r="M5" s="82">
        <f>K5*K6</f>
        <v>19.50162513542795</v>
      </c>
      <c r="N5" s="68" t="s">
        <v>63</v>
      </c>
      <c r="R5" s="24"/>
    </row>
    <row r="6" spans="1:18">
      <c r="A6" s="21"/>
      <c r="B6" s="25">
        <v>6</v>
      </c>
      <c r="C6" s="50" t="s">
        <v>5</v>
      </c>
      <c r="D6" s="77">
        <f>D7*D8/D5/D4</f>
        <v>0.67204301075268813</v>
      </c>
      <c r="E6" s="87" t="s">
        <v>6</v>
      </c>
      <c r="F6" s="97"/>
      <c r="G6" s="98"/>
      <c r="H6" s="24"/>
      <c r="I6" s="63">
        <v>6</v>
      </c>
      <c r="J6" s="53" t="s">
        <v>5</v>
      </c>
      <c r="K6" s="73">
        <f>K7*K8/K5/K4</f>
        <v>6.5005417118093174</v>
      </c>
      <c r="L6" s="87" t="s">
        <v>6</v>
      </c>
      <c r="M6" s="70" t="s">
        <v>7</v>
      </c>
      <c r="N6" s="1"/>
      <c r="R6" s="24"/>
    </row>
    <row r="7" spans="1:18">
      <c r="A7" s="21"/>
      <c r="B7" s="25">
        <v>7</v>
      </c>
      <c r="C7" s="50" t="s">
        <v>8</v>
      </c>
      <c r="D7" s="27">
        <v>5</v>
      </c>
      <c r="E7" s="87" t="s">
        <v>3</v>
      </c>
      <c r="F7" s="23"/>
      <c r="G7" s="23"/>
      <c r="H7" s="24"/>
      <c r="I7" s="63">
        <v>7</v>
      </c>
      <c r="J7" s="53" t="s">
        <v>9</v>
      </c>
      <c r="K7" s="72">
        <v>12</v>
      </c>
      <c r="L7" s="87" t="s">
        <v>3</v>
      </c>
      <c r="R7" s="24"/>
    </row>
    <row r="8" spans="1:18">
      <c r="A8" s="21"/>
      <c r="B8" s="25">
        <v>8</v>
      </c>
      <c r="C8" s="50" t="s">
        <v>10</v>
      </c>
      <c r="D8" s="27">
        <v>3</v>
      </c>
      <c r="E8" s="87" t="s">
        <v>6</v>
      </c>
      <c r="F8" s="70" t="s">
        <v>7</v>
      </c>
      <c r="G8" s="1"/>
      <c r="H8" s="24"/>
      <c r="I8" s="63">
        <v>8</v>
      </c>
      <c r="J8" s="53" t="s">
        <v>11</v>
      </c>
      <c r="K8" s="72">
        <v>1.5</v>
      </c>
      <c r="L8" s="87" t="s">
        <v>6</v>
      </c>
      <c r="R8" s="24"/>
    </row>
    <row r="9" spans="1:18">
      <c r="A9" s="21"/>
      <c r="B9" s="25">
        <v>9</v>
      </c>
      <c r="C9" s="50" t="s">
        <v>12</v>
      </c>
      <c r="D9" s="77">
        <f>D7*D8</f>
        <v>15</v>
      </c>
      <c r="E9" s="87" t="s">
        <v>13</v>
      </c>
      <c r="F9" s="23"/>
      <c r="G9" s="23"/>
      <c r="H9" s="24"/>
      <c r="I9" s="63">
        <v>9</v>
      </c>
      <c r="J9" s="53" t="s">
        <v>12</v>
      </c>
      <c r="K9" s="74">
        <f>K7*K8</f>
        <v>18</v>
      </c>
      <c r="L9" s="87" t="s">
        <v>13</v>
      </c>
      <c r="R9" s="24"/>
    </row>
    <row r="10" spans="1:18">
      <c r="A10" s="21"/>
      <c r="B10" s="25">
        <v>10</v>
      </c>
      <c r="C10" s="50" t="s">
        <v>79</v>
      </c>
      <c r="D10" s="28">
        <v>150</v>
      </c>
      <c r="E10" s="87" t="s">
        <v>14</v>
      </c>
      <c r="F10" s="23" t="s">
        <v>15</v>
      </c>
      <c r="G10" s="23"/>
      <c r="H10" s="24"/>
      <c r="I10" s="63">
        <v>10</v>
      </c>
      <c r="J10" s="53" t="s">
        <v>80</v>
      </c>
      <c r="K10" s="43">
        <v>500</v>
      </c>
      <c r="L10" s="87" t="s">
        <v>14</v>
      </c>
      <c r="M10" s="15" t="s">
        <v>15</v>
      </c>
      <c r="R10" s="24"/>
    </row>
    <row r="11" spans="1:18">
      <c r="A11" s="21"/>
      <c r="B11" s="25">
        <v>11</v>
      </c>
      <c r="C11" s="33" t="s">
        <v>16</v>
      </c>
      <c r="D11" s="78">
        <f>D7/D5</f>
        <v>0.20833333333333334</v>
      </c>
      <c r="E11" s="87"/>
      <c r="F11" s="23"/>
      <c r="G11" s="23"/>
      <c r="H11" s="24"/>
      <c r="I11" s="63">
        <v>11</v>
      </c>
      <c r="J11" s="54" t="s">
        <v>81</v>
      </c>
      <c r="K11" s="75">
        <f>(K7-K5)/K7</f>
        <v>0.75</v>
      </c>
      <c r="L11" s="87"/>
      <c r="R11" s="24"/>
    </row>
    <row r="12" spans="1:18">
      <c r="A12" s="21"/>
      <c r="B12" s="25">
        <v>12</v>
      </c>
      <c r="C12" s="33" t="s">
        <v>83</v>
      </c>
      <c r="D12" s="26">
        <v>0.4</v>
      </c>
      <c r="E12" s="87"/>
      <c r="F12" s="23"/>
      <c r="G12" s="23"/>
      <c r="H12" s="24"/>
      <c r="I12" s="63">
        <v>12</v>
      </c>
      <c r="J12" s="54" t="s">
        <v>82</v>
      </c>
      <c r="K12" s="71">
        <v>0.4</v>
      </c>
      <c r="L12" s="87"/>
      <c r="R12" s="24"/>
    </row>
    <row r="13" spans="1:18" ht="17.25" customHeight="1">
      <c r="A13" s="21"/>
      <c r="B13" s="25">
        <v>13</v>
      </c>
      <c r="C13" s="33" t="s">
        <v>17</v>
      </c>
      <c r="D13" s="77">
        <f>D12*D8</f>
        <v>1.2000000000000002</v>
      </c>
      <c r="E13" s="87" t="s">
        <v>6</v>
      </c>
      <c r="F13" s="29" t="s">
        <v>18</v>
      </c>
      <c r="G13" s="23"/>
      <c r="H13" s="24"/>
      <c r="I13" s="63">
        <v>13</v>
      </c>
      <c r="J13" s="54" t="s">
        <v>19</v>
      </c>
      <c r="K13" s="73">
        <f>K6*K12</f>
        <v>2.6002166847237271</v>
      </c>
      <c r="L13" s="87" t="s">
        <v>6</v>
      </c>
      <c r="R13" s="24"/>
    </row>
    <row r="14" spans="1:18">
      <c r="A14" s="21"/>
      <c r="B14" s="25">
        <v>14</v>
      </c>
      <c r="C14" s="33" t="s">
        <v>77</v>
      </c>
      <c r="D14" s="30">
        <v>200</v>
      </c>
      <c r="E14" s="87" t="s">
        <v>20</v>
      </c>
      <c r="F14" s="23" t="s">
        <v>21</v>
      </c>
      <c r="G14" s="23"/>
      <c r="H14" s="24"/>
      <c r="I14" s="63">
        <v>14</v>
      </c>
      <c r="J14" s="54" t="s">
        <v>76</v>
      </c>
      <c r="K14" s="43">
        <v>100</v>
      </c>
      <c r="L14" s="87" t="s">
        <v>20</v>
      </c>
      <c r="M14" s="15" t="s">
        <v>21</v>
      </c>
      <c r="R14" s="24"/>
    </row>
    <row r="15" spans="1:18">
      <c r="A15" s="21"/>
      <c r="B15" s="25">
        <v>15</v>
      </c>
      <c r="C15" s="33" t="s">
        <v>72</v>
      </c>
      <c r="D15" s="77">
        <f>D13/8/D10/D14*1000000</f>
        <v>5.0000000000000009</v>
      </c>
      <c r="E15" s="87" t="s">
        <v>22</v>
      </c>
      <c r="F15" s="23" t="s">
        <v>23</v>
      </c>
      <c r="G15" s="23"/>
      <c r="H15" s="24"/>
      <c r="I15" s="63">
        <v>15</v>
      </c>
      <c r="J15" s="54" t="s">
        <v>74</v>
      </c>
      <c r="K15" s="76">
        <f>K8*K11/K10/K14*1000000</f>
        <v>22.499999999999996</v>
      </c>
      <c r="L15" s="87" t="s">
        <v>22</v>
      </c>
      <c r="R15" s="24"/>
    </row>
    <row r="16" spans="1:18">
      <c r="A16" s="21"/>
      <c r="B16" s="31">
        <v>16</v>
      </c>
      <c r="C16" s="51" t="s">
        <v>24</v>
      </c>
      <c r="D16" s="81">
        <f>D7*(D5-D7)/D5/D13/D10*1000</f>
        <v>21.990740740740737</v>
      </c>
      <c r="E16" s="88" t="s">
        <v>25</v>
      </c>
      <c r="F16" s="23"/>
      <c r="G16" s="23"/>
      <c r="H16" s="24"/>
      <c r="I16" s="63">
        <v>16</v>
      </c>
      <c r="J16" s="55" t="s">
        <v>24</v>
      </c>
      <c r="K16" s="76">
        <f>K5*(K7-K5)/K7/K13/K10*1000</f>
        <v>1.7306249999999999</v>
      </c>
      <c r="L16" s="91" t="s">
        <v>66</v>
      </c>
      <c r="R16" s="24"/>
    </row>
    <row r="17" spans="1:18">
      <c r="A17" s="21"/>
      <c r="B17" s="32">
        <v>17</v>
      </c>
      <c r="C17" s="33" t="s">
        <v>78</v>
      </c>
      <c r="D17" s="77">
        <f>D8+D13/2</f>
        <v>3.6</v>
      </c>
      <c r="E17" s="89" t="s">
        <v>6</v>
      </c>
      <c r="F17" s="23"/>
      <c r="G17" s="23"/>
      <c r="H17" s="24"/>
      <c r="I17" s="64">
        <v>17</v>
      </c>
      <c r="J17" s="55" t="s">
        <v>78</v>
      </c>
      <c r="K17" s="77">
        <f>K6+K13/2</f>
        <v>7.8006500541711805</v>
      </c>
      <c r="L17" s="89" t="s">
        <v>6</v>
      </c>
      <c r="R17" s="24"/>
    </row>
    <row r="18" spans="1:18">
      <c r="A18" s="21"/>
      <c r="B18" s="32">
        <v>18</v>
      </c>
      <c r="C18" s="33" t="s">
        <v>26</v>
      </c>
      <c r="D18" s="77">
        <f>D8*SQRT(1+((D12^2)/12))</f>
        <v>3.0199337741083001</v>
      </c>
      <c r="E18" s="87" t="s">
        <v>6</v>
      </c>
      <c r="F18" s="23"/>
      <c r="G18" s="23"/>
      <c r="H18" s="24"/>
      <c r="I18" s="64">
        <v>18</v>
      </c>
      <c r="J18" s="55" t="s">
        <v>26</v>
      </c>
      <c r="K18" s="77">
        <f>K6*SQRT(1+((K12^2)/12))</f>
        <v>6.5437351551642466</v>
      </c>
      <c r="L18" s="48" t="s">
        <v>67</v>
      </c>
      <c r="R18" s="24"/>
    </row>
    <row r="19" spans="1:18" ht="19.5" customHeight="1">
      <c r="A19" s="21"/>
      <c r="B19" s="32">
        <v>19</v>
      </c>
      <c r="C19" s="85" t="s">
        <v>69</v>
      </c>
      <c r="D19" s="77">
        <f>D8/2</f>
        <v>1.5</v>
      </c>
      <c r="E19" s="87" t="s">
        <v>6</v>
      </c>
      <c r="F19" s="23"/>
      <c r="G19" s="23"/>
      <c r="H19" s="34"/>
      <c r="I19" s="64">
        <v>19</v>
      </c>
      <c r="J19" s="56" t="s">
        <v>27</v>
      </c>
      <c r="K19" s="77">
        <f>K6*K12/SQRT(12)</f>
        <v>0.75061790143830009</v>
      </c>
      <c r="L19" s="48" t="s">
        <v>67</v>
      </c>
      <c r="R19" s="24"/>
    </row>
    <row r="20" spans="1:18" ht="19.5" customHeight="1">
      <c r="A20" s="21"/>
      <c r="B20" s="32">
        <v>20</v>
      </c>
      <c r="C20" s="85" t="s">
        <v>70</v>
      </c>
      <c r="D20" s="77">
        <f>D8*D12/SQRT(12)</f>
        <v>0.34641016151377552</v>
      </c>
      <c r="E20" s="87" t="s">
        <v>6</v>
      </c>
      <c r="F20" s="23"/>
      <c r="G20" s="23"/>
      <c r="H20" s="24"/>
      <c r="I20" s="64">
        <v>20</v>
      </c>
      <c r="J20" s="56" t="s">
        <v>28</v>
      </c>
      <c r="K20" s="77">
        <f>K8*SQRT((K11+(K12^2/12))/(1-K11))</f>
        <v>2.6210684844162313</v>
      </c>
      <c r="L20" s="87" t="s">
        <v>6</v>
      </c>
      <c r="R20" s="24"/>
    </row>
    <row r="21" spans="1:18">
      <c r="A21" s="21"/>
      <c r="B21" s="32">
        <v>21</v>
      </c>
      <c r="C21" s="33" t="s">
        <v>71</v>
      </c>
      <c r="D21" s="76">
        <f>D8*D11*(1-D11)/D10/D22*1000000</f>
        <v>32.986111111111107</v>
      </c>
      <c r="E21" s="87" t="s">
        <v>22</v>
      </c>
      <c r="F21" s="23"/>
      <c r="G21" s="23"/>
      <c r="H21" s="24"/>
      <c r="I21" s="64">
        <v>21</v>
      </c>
      <c r="J21" s="55" t="s">
        <v>73</v>
      </c>
      <c r="K21" s="74">
        <f>K8*K12/(1-K11)/K10/K22/8*1000000</f>
        <v>6</v>
      </c>
      <c r="L21" s="87" t="s">
        <v>22</v>
      </c>
      <c r="R21" s="24"/>
    </row>
    <row r="22" spans="1:18">
      <c r="A22" s="21"/>
      <c r="B22" s="32">
        <v>22</v>
      </c>
      <c r="C22" s="50" t="s">
        <v>68</v>
      </c>
      <c r="D22" s="35">
        <v>100</v>
      </c>
      <c r="E22" s="87" t="s">
        <v>20</v>
      </c>
      <c r="F22" s="23"/>
      <c r="G22" s="23"/>
      <c r="H22" s="24"/>
      <c r="I22" s="65">
        <v>22</v>
      </c>
      <c r="J22" s="52" t="s">
        <v>75</v>
      </c>
      <c r="K22" s="43">
        <v>100</v>
      </c>
      <c r="L22" s="87" t="s">
        <v>20</v>
      </c>
      <c r="R22" s="24"/>
    </row>
    <row r="23" spans="1:18">
      <c r="A23" s="21"/>
      <c r="B23" s="25">
        <v>23</v>
      </c>
      <c r="C23" s="50" t="s">
        <v>29</v>
      </c>
      <c r="D23" s="78">
        <f>D11/D10*1000</f>
        <v>1.3888888888888888</v>
      </c>
      <c r="E23" s="87" t="s">
        <v>30</v>
      </c>
      <c r="F23" s="23"/>
      <c r="G23" s="23"/>
      <c r="H23" s="24"/>
      <c r="I23" s="63">
        <v>23</v>
      </c>
      <c r="J23" s="53" t="s">
        <v>29</v>
      </c>
      <c r="K23" s="75">
        <f>K11/K10*1000</f>
        <v>1.5</v>
      </c>
      <c r="L23" s="87" t="s">
        <v>30</v>
      </c>
      <c r="R23" s="24"/>
    </row>
    <row r="24" spans="1:18">
      <c r="A24" s="21"/>
      <c r="B24" s="25">
        <v>24</v>
      </c>
      <c r="C24" s="50" t="s">
        <v>31</v>
      </c>
      <c r="D24" s="78">
        <f>1/D10*1000</f>
        <v>6.666666666666667</v>
      </c>
      <c r="E24" s="87" t="s">
        <v>30</v>
      </c>
      <c r="F24" s="23"/>
      <c r="G24" s="23"/>
      <c r="H24" s="24"/>
      <c r="I24" s="63">
        <v>24</v>
      </c>
      <c r="J24" s="53" t="s">
        <v>31</v>
      </c>
      <c r="K24" s="75">
        <f>1/K10*1000</f>
        <v>2</v>
      </c>
      <c r="L24" s="87" t="s">
        <v>30</v>
      </c>
      <c r="R24" s="24"/>
    </row>
    <row r="25" spans="1:18">
      <c r="A25" s="21"/>
      <c r="B25" s="18">
        <v>25</v>
      </c>
      <c r="C25" s="50" t="s">
        <v>50</v>
      </c>
      <c r="D25" s="77">
        <f>D8*SQRT(D11*(1+D12^2/12))</f>
        <v>1.3784048752090223</v>
      </c>
      <c r="E25" s="48" t="s">
        <v>54</v>
      </c>
      <c r="F25" s="23"/>
      <c r="G25" s="23"/>
      <c r="H25" s="24"/>
      <c r="I25" s="63">
        <v>25</v>
      </c>
      <c r="J25" s="53" t="s">
        <v>51</v>
      </c>
      <c r="K25" s="77">
        <f>K8*SQRT(K11*(1+K12^2/12))/(1-K11)</f>
        <v>5.2306787322488084</v>
      </c>
      <c r="L25" s="48" t="s">
        <v>54</v>
      </c>
      <c r="R25" s="24"/>
    </row>
    <row r="26" spans="1:18">
      <c r="A26" s="21"/>
      <c r="B26" s="18">
        <v>26</v>
      </c>
      <c r="C26" s="66" t="s">
        <v>52</v>
      </c>
      <c r="D26" s="79">
        <f>D8*SQRT((1-D11)*(1+D12^2/12))</f>
        <v>2.6870057685088806</v>
      </c>
      <c r="E26" s="48" t="s">
        <v>55</v>
      </c>
      <c r="F26" s="23"/>
      <c r="G26" s="23"/>
      <c r="H26" s="24"/>
      <c r="I26" s="63">
        <v>26</v>
      </c>
      <c r="J26" s="53" t="s">
        <v>53</v>
      </c>
      <c r="K26" s="77">
        <f>K8*SQRT((1+K12^2/12)/(1-K11))</f>
        <v>3.0199337741083001</v>
      </c>
      <c r="L26" s="48" t="s">
        <v>55</v>
      </c>
      <c r="R26" s="24"/>
    </row>
    <row r="27" spans="1:18" ht="15" thickBot="1">
      <c r="A27" s="21"/>
      <c r="B27" s="18">
        <v>27</v>
      </c>
      <c r="C27" s="60" t="s">
        <v>58</v>
      </c>
      <c r="D27" s="80">
        <f>D8*(1-D11)</f>
        <v>2.375</v>
      </c>
      <c r="E27" s="90" t="s">
        <v>59</v>
      </c>
      <c r="F27" s="61" t="s">
        <v>61</v>
      </c>
      <c r="G27" s="37"/>
      <c r="H27" s="40"/>
      <c r="I27" s="63">
        <v>27</v>
      </c>
      <c r="J27" s="52" t="s">
        <v>58</v>
      </c>
      <c r="K27" s="73">
        <f>K8</f>
        <v>1.5</v>
      </c>
      <c r="L27" s="48" t="s">
        <v>54</v>
      </c>
      <c r="M27" s="48" t="s">
        <v>60</v>
      </c>
      <c r="R27" s="24"/>
    </row>
    <row r="28" spans="1:18">
      <c r="A28" s="21"/>
      <c r="C28" s="44"/>
      <c r="D28" s="22"/>
      <c r="E28" s="84"/>
      <c r="F28" s="23"/>
      <c r="G28" s="23"/>
      <c r="H28" s="23"/>
      <c r="I28" s="23"/>
      <c r="J28" s="44"/>
      <c r="R28" s="24"/>
    </row>
    <row r="29" spans="1:18">
      <c r="A29" s="21"/>
      <c r="C29" s="44"/>
      <c r="D29" s="22"/>
      <c r="E29" s="84"/>
      <c r="F29" s="23"/>
      <c r="G29" s="23"/>
      <c r="H29" s="23"/>
      <c r="I29" s="23"/>
      <c r="J29" s="44"/>
      <c r="R29" s="24"/>
    </row>
    <row r="30" spans="1:18">
      <c r="A30" s="21"/>
      <c r="C30" s="44"/>
      <c r="D30" s="22"/>
      <c r="E30" s="84"/>
      <c r="F30" s="23"/>
      <c r="G30" s="23"/>
      <c r="H30" s="23"/>
      <c r="I30" s="23"/>
      <c r="J30" s="44"/>
      <c r="R30" s="24"/>
    </row>
    <row r="31" spans="1:18">
      <c r="A31" s="21"/>
      <c r="C31" s="44"/>
      <c r="D31" s="22"/>
      <c r="E31" s="84"/>
      <c r="F31" s="23"/>
      <c r="G31" s="23"/>
      <c r="H31" s="23"/>
      <c r="I31" s="23"/>
      <c r="J31" s="44"/>
      <c r="R31" s="24"/>
    </row>
    <row r="32" spans="1:18">
      <c r="A32" s="21"/>
      <c r="C32" s="44"/>
      <c r="D32" s="22"/>
      <c r="E32" s="84"/>
      <c r="F32" s="23"/>
      <c r="G32" s="23"/>
      <c r="H32" s="23"/>
      <c r="I32" s="23"/>
      <c r="J32" s="44"/>
      <c r="R32" s="24"/>
    </row>
    <row r="33" spans="1:18">
      <c r="A33" s="21"/>
      <c r="C33" s="44"/>
      <c r="D33" s="22"/>
      <c r="E33" s="84"/>
      <c r="F33" s="23"/>
      <c r="G33" s="23"/>
      <c r="H33" s="23"/>
      <c r="I33" s="23"/>
      <c r="J33" s="44"/>
      <c r="R33" s="24"/>
    </row>
    <row r="34" spans="1:18">
      <c r="A34" s="21"/>
      <c r="C34" s="44"/>
      <c r="D34" s="22"/>
      <c r="E34" s="84"/>
      <c r="F34" s="23"/>
      <c r="G34" s="23"/>
      <c r="H34" s="23"/>
      <c r="I34" s="23"/>
      <c r="J34" s="44"/>
      <c r="R34" s="24"/>
    </row>
    <row r="35" spans="1:18">
      <c r="A35" s="21"/>
      <c r="C35" s="44"/>
      <c r="D35" s="22"/>
      <c r="E35" s="84"/>
      <c r="F35" s="23"/>
      <c r="G35" s="23"/>
      <c r="H35" s="23"/>
      <c r="I35" s="23"/>
      <c r="J35" s="44"/>
      <c r="R35" s="24"/>
    </row>
    <row r="36" spans="1:18">
      <c r="A36" s="21"/>
      <c r="C36" s="44"/>
      <c r="D36" s="22"/>
      <c r="E36" s="84"/>
      <c r="F36" s="23"/>
      <c r="G36" s="23"/>
      <c r="H36" s="23"/>
      <c r="I36" s="23"/>
      <c r="J36" s="44"/>
      <c r="R36" s="24"/>
    </row>
    <row r="37" spans="1:18">
      <c r="A37" s="21"/>
      <c r="C37" s="44"/>
      <c r="D37" s="22"/>
      <c r="E37" s="84"/>
      <c r="F37" s="23"/>
      <c r="G37" s="23"/>
      <c r="H37" s="23"/>
      <c r="I37" s="23"/>
      <c r="J37" s="44"/>
      <c r="R37" s="24"/>
    </row>
    <row r="38" spans="1:18">
      <c r="A38" s="21"/>
      <c r="C38" s="44"/>
      <c r="D38" s="22"/>
      <c r="E38" s="84"/>
      <c r="F38" s="23"/>
      <c r="G38" s="23"/>
      <c r="H38" s="23"/>
      <c r="I38" s="23"/>
      <c r="J38" s="44"/>
      <c r="R38" s="24"/>
    </row>
    <row r="39" spans="1:18">
      <c r="A39" s="21"/>
      <c r="C39" s="44"/>
      <c r="D39" s="22"/>
      <c r="E39" s="84"/>
      <c r="F39" s="23"/>
      <c r="G39" s="23"/>
      <c r="H39" s="24"/>
      <c r="I39" s="23"/>
      <c r="J39" s="44"/>
      <c r="R39" s="24"/>
    </row>
    <row r="40" spans="1:18">
      <c r="A40" s="21"/>
      <c r="C40" s="44"/>
      <c r="D40" s="22"/>
      <c r="E40" s="84"/>
      <c r="F40" s="23"/>
      <c r="G40" s="23"/>
      <c r="H40" s="24"/>
      <c r="I40" s="23"/>
      <c r="J40" s="44"/>
      <c r="R40" s="24"/>
    </row>
    <row r="41" spans="1:18">
      <c r="A41" s="21"/>
      <c r="C41" s="44"/>
      <c r="D41" s="22"/>
      <c r="E41" s="84"/>
      <c r="F41" s="23"/>
      <c r="G41" s="23"/>
      <c r="H41" s="24"/>
      <c r="I41" s="23"/>
      <c r="J41" s="44"/>
      <c r="R41" s="24"/>
    </row>
    <row r="42" spans="1:18">
      <c r="A42" s="21"/>
      <c r="C42" s="44"/>
      <c r="D42" s="22"/>
      <c r="E42" s="84"/>
      <c r="F42" s="23"/>
      <c r="G42" s="23"/>
      <c r="H42" s="24"/>
      <c r="I42" s="23"/>
      <c r="J42" s="44"/>
      <c r="R42" s="24"/>
    </row>
    <row r="43" spans="1:18">
      <c r="A43" s="21"/>
      <c r="C43" s="44"/>
      <c r="D43" s="22"/>
      <c r="E43" s="84"/>
      <c r="F43" s="23"/>
      <c r="G43" s="23"/>
      <c r="H43" s="24"/>
      <c r="I43" s="23"/>
      <c r="J43" s="44"/>
      <c r="R43" s="24"/>
    </row>
    <row r="44" spans="1:18">
      <c r="A44" s="21"/>
      <c r="C44" s="44"/>
      <c r="D44" s="22"/>
      <c r="E44" s="84"/>
      <c r="F44" s="23"/>
      <c r="G44" s="23"/>
      <c r="H44" s="24"/>
      <c r="I44" s="23"/>
      <c r="J44" s="44"/>
      <c r="R44" s="24"/>
    </row>
    <row r="45" spans="1:18">
      <c r="A45" s="36"/>
      <c r="B45" s="37"/>
      <c r="C45" s="38"/>
      <c r="D45" s="39"/>
      <c r="E45" s="46"/>
      <c r="F45" s="37"/>
      <c r="G45" s="37"/>
      <c r="H45" s="40"/>
      <c r="I45" s="36"/>
      <c r="J45" s="45"/>
      <c r="K45" s="46"/>
      <c r="L45" s="46"/>
      <c r="M45" s="37"/>
      <c r="N45" s="37"/>
      <c r="O45" s="37"/>
      <c r="P45" s="37"/>
      <c r="Q45" s="37"/>
      <c r="R45" s="40"/>
    </row>
  </sheetData>
  <sheetProtection algorithmName="SHA-512" hashValue="/EJ8LrFvtZSJrwWAN5SZzDQNYn2+VghgVFa5UD7/run6ge58y8HyqtjOQFZyFar2sglBG36qvZgbQoYl0/QvSA==" saltValue="toWfWdhhHTCLdXFW5e2wHg==" spinCount="100000" sheet="1" selectLockedCells="1"/>
  <mergeCells count="3">
    <mergeCell ref="F6:G6"/>
    <mergeCell ref="I1:R2"/>
    <mergeCell ref="C1:H2"/>
  </mergeCells>
  <phoneticPr fontId="5" type="noConversion"/>
  <pageMargins left="0.69930555555555596" right="0.69930555555555596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workbookViewId="0">
      <selection activeCell="L24" sqref="L24"/>
    </sheetView>
  </sheetViews>
  <sheetFormatPr defaultColWidth="9" defaultRowHeight="14.25"/>
  <cols>
    <col min="1" max="2" width="9" style="2"/>
    <col min="3" max="3" width="12.625" style="2"/>
    <col min="4" max="6" width="9" style="2"/>
    <col min="7" max="7" width="13" style="2" customWidth="1"/>
    <col min="8" max="9" width="9" style="2"/>
    <col min="10" max="10" width="12.625" style="2"/>
    <col min="11" max="11" width="9" style="2"/>
    <col min="12" max="12" width="21.125" style="2" customWidth="1"/>
    <col min="13" max="16384" width="9" style="2"/>
  </cols>
  <sheetData>
    <row r="1" spans="1:12">
      <c r="B1" s="105" t="s">
        <v>32</v>
      </c>
      <c r="C1" s="105"/>
      <c r="G1" s="2" t="s">
        <v>33</v>
      </c>
      <c r="J1" s="2">
        <v>8906</v>
      </c>
    </row>
    <row r="2" spans="1:12">
      <c r="B2" s="3" t="s">
        <v>34</v>
      </c>
      <c r="C2" s="4">
        <v>4.7</v>
      </c>
      <c r="D2" s="3" t="s">
        <v>14</v>
      </c>
      <c r="F2" s="3" t="s">
        <v>34</v>
      </c>
      <c r="G2" s="5">
        <v>21</v>
      </c>
      <c r="H2" s="3" t="s">
        <v>35</v>
      </c>
      <c r="I2" s="3"/>
      <c r="J2" s="11">
        <v>91</v>
      </c>
      <c r="K2" s="3" t="s">
        <v>35</v>
      </c>
    </row>
    <row r="3" spans="1:12">
      <c r="B3" s="3" t="s">
        <v>36</v>
      </c>
      <c r="C3" s="4">
        <v>470</v>
      </c>
      <c r="D3" s="3" t="s">
        <v>37</v>
      </c>
      <c r="F3" s="3" t="s">
        <v>38</v>
      </c>
      <c r="G3" s="6">
        <f>121/G2</f>
        <v>5.7619047619047619</v>
      </c>
      <c r="H3" s="3" t="s">
        <v>6</v>
      </c>
      <c r="I3" s="3"/>
      <c r="J3" s="14">
        <f>964*2/10/J2</f>
        <v>2.1186813186813187</v>
      </c>
      <c r="K3" s="3" t="s">
        <v>6</v>
      </c>
    </row>
    <row r="4" spans="1:12">
      <c r="B4" s="3" t="s">
        <v>39</v>
      </c>
      <c r="C4" s="6">
        <f>1/2.08/C2/C3*1000000</f>
        <v>217.64111850123618</v>
      </c>
      <c r="D4" s="3" t="s">
        <v>40</v>
      </c>
    </row>
    <row r="6" spans="1:12">
      <c r="G6" s="2" t="s">
        <v>41</v>
      </c>
      <c r="J6" s="95" t="s">
        <v>88</v>
      </c>
      <c r="K6" s="95" t="s">
        <v>86</v>
      </c>
      <c r="L6" s="95" t="s">
        <v>87</v>
      </c>
    </row>
    <row r="7" spans="1:12">
      <c r="A7" s="94">
        <f>A8^2</f>
        <v>16</v>
      </c>
      <c r="B7" s="48" t="s">
        <v>57</v>
      </c>
      <c r="G7" s="2" t="s">
        <v>42</v>
      </c>
      <c r="J7" s="96">
        <f>K7*K7*L7/1000</f>
        <v>9.4</v>
      </c>
      <c r="K7" s="5">
        <v>10</v>
      </c>
      <c r="L7" s="5">
        <v>94</v>
      </c>
    </row>
    <row r="8" spans="1:12">
      <c r="A8" s="49">
        <v>4</v>
      </c>
      <c r="B8" s="48" t="s">
        <v>85</v>
      </c>
      <c r="F8" s="3" t="s">
        <v>34</v>
      </c>
      <c r="G8" s="7">
        <f>121/G9</f>
        <v>23.725490196078432</v>
      </c>
      <c r="H8" s="3" t="s">
        <v>35</v>
      </c>
    </row>
    <row r="9" spans="1:12">
      <c r="A9" s="47"/>
      <c r="B9" s="48"/>
      <c r="F9" s="3" t="s">
        <v>38</v>
      </c>
      <c r="G9" s="8">
        <v>5.0999999999999996</v>
      </c>
      <c r="H9" s="3" t="s">
        <v>6</v>
      </c>
    </row>
    <row r="10" spans="1:12">
      <c r="A10" s="49">
        <v>9</v>
      </c>
      <c r="B10" s="48" t="s">
        <v>85</v>
      </c>
    </row>
    <row r="11" spans="1:12">
      <c r="A11" s="94">
        <f>SQRT(A10)</f>
        <v>3</v>
      </c>
      <c r="B11" s="48" t="s">
        <v>56</v>
      </c>
    </row>
    <row r="13" spans="1:12">
      <c r="D13" s="3" t="s">
        <v>43</v>
      </c>
    </row>
    <row r="16" spans="1:12">
      <c r="G16" s="3" t="s">
        <v>44</v>
      </c>
    </row>
    <row r="17" spans="1:8">
      <c r="A17" s="9"/>
      <c r="B17" s="9"/>
      <c r="C17" s="9"/>
      <c r="D17" s="9"/>
      <c r="E17" s="9"/>
      <c r="F17" s="10" t="s">
        <v>45</v>
      </c>
      <c r="G17" s="5">
        <v>310</v>
      </c>
      <c r="H17" s="4" t="s">
        <v>46</v>
      </c>
    </row>
    <row r="18" spans="1:8">
      <c r="A18" s="11"/>
      <c r="B18" s="11"/>
      <c r="C18" s="11"/>
      <c r="D18" s="11"/>
      <c r="E18" s="11"/>
      <c r="F18" s="3" t="s">
        <v>47</v>
      </c>
      <c r="G18" s="12">
        <v>9</v>
      </c>
      <c r="H18" s="4" t="s">
        <v>3</v>
      </c>
    </row>
    <row r="19" spans="1:8">
      <c r="A19" s="13"/>
      <c r="B19" s="13"/>
      <c r="C19" s="13"/>
      <c r="D19" s="13"/>
      <c r="E19" s="13"/>
      <c r="F19" s="3" t="s">
        <v>48</v>
      </c>
      <c r="G19" s="4">
        <v>3.6</v>
      </c>
      <c r="H19" s="4" t="s">
        <v>3</v>
      </c>
    </row>
    <row r="20" spans="1:8">
      <c r="A20" s="3"/>
      <c r="B20" s="3"/>
      <c r="C20" s="3"/>
      <c r="D20" s="3"/>
      <c r="E20" s="3"/>
      <c r="F20" s="3" t="s">
        <v>49</v>
      </c>
      <c r="G20" s="4">
        <f>6*(1/G17/1000-(90*G18/G19)/1000000000)/(34/1000000000000)/1000</f>
        <v>529.55407969639475</v>
      </c>
      <c r="H20" s="4" t="s">
        <v>35</v>
      </c>
    </row>
  </sheetData>
  <sheetProtection selectLockedCells="1"/>
  <protectedRanges>
    <protectedRange sqref="G3 G18" name="区域1" securityDescriptor="O:WDG:WDD:"/>
  </protectedRanges>
  <mergeCells count="1">
    <mergeCell ref="B1:C1"/>
  </mergeCells>
  <phoneticPr fontId="5" type="noConversion"/>
  <pageMargins left="0.69930555555555596" right="0.69930555555555596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66" sqref="H66"/>
    </sheetView>
  </sheetViews>
  <sheetFormatPr defaultColWidth="8.625" defaultRowHeight="14.25"/>
  <sheetData/>
  <phoneticPr fontId="5" type="noConversion"/>
  <pageMargins left="0.75" right="0.75" top="1" bottom="1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workbookViewId="0">
      <selection activeCell="T13" sqref="T13"/>
    </sheetView>
  </sheetViews>
  <sheetFormatPr defaultColWidth="9" defaultRowHeight="14.25"/>
  <cols>
    <col min="1" max="1" width="9" style="15"/>
    <col min="2" max="2" width="6.5" style="15" customWidth="1"/>
    <col min="3" max="3" width="18.125" style="16" customWidth="1"/>
    <col min="4" max="4" width="13.125" style="17" customWidth="1"/>
    <col min="5" max="5" width="4.625" style="18" customWidth="1"/>
    <col min="6" max="7" width="9" style="15"/>
    <col min="8" max="8" width="7.5" style="15" customWidth="1"/>
    <col min="9" max="9" width="6.625" style="15" customWidth="1"/>
    <col min="10" max="10" width="17.625" style="16" customWidth="1"/>
    <col min="11" max="11" width="9" style="18"/>
    <col min="12" max="12" width="4.75" style="18" customWidth="1"/>
    <col min="13" max="17" width="9" style="15"/>
    <col min="18" max="18" width="4.625" style="15" customWidth="1"/>
    <col min="19" max="16384" width="9" style="15"/>
  </cols>
  <sheetData>
    <row r="1" spans="1:18" s="111" customFormat="1">
      <c r="A1" s="106"/>
      <c r="B1" s="107"/>
      <c r="C1" s="108" t="s">
        <v>65</v>
      </c>
      <c r="D1" s="109"/>
      <c r="E1" s="109"/>
      <c r="F1" s="109"/>
      <c r="G1" s="109"/>
      <c r="H1" s="110"/>
      <c r="I1" s="109" t="s">
        <v>0</v>
      </c>
      <c r="J1" s="109"/>
      <c r="K1" s="109"/>
      <c r="L1" s="109"/>
      <c r="M1" s="109"/>
      <c r="N1" s="109"/>
      <c r="O1" s="109"/>
      <c r="P1" s="109"/>
      <c r="Q1" s="109"/>
      <c r="R1" s="110"/>
    </row>
    <row r="2" spans="1:18" s="111" customFormat="1" ht="15" thickBot="1">
      <c r="A2" s="112"/>
      <c r="C2" s="113"/>
      <c r="D2" s="114"/>
      <c r="E2" s="114"/>
      <c r="F2" s="114"/>
      <c r="G2" s="114"/>
      <c r="H2" s="115"/>
      <c r="I2" s="114"/>
      <c r="J2" s="114"/>
      <c r="K2" s="114"/>
      <c r="L2" s="114"/>
      <c r="M2" s="114"/>
      <c r="N2" s="114"/>
      <c r="O2" s="114"/>
      <c r="P2" s="114"/>
      <c r="Q2" s="114"/>
      <c r="R2" s="115"/>
    </row>
    <row r="3" spans="1:18" ht="22.5" customHeight="1">
      <c r="A3" s="21"/>
      <c r="C3" s="57"/>
      <c r="D3" s="58"/>
      <c r="E3" s="86"/>
      <c r="F3" s="20"/>
      <c r="G3" s="20"/>
      <c r="H3" s="59"/>
      <c r="I3" s="62"/>
      <c r="J3" s="41"/>
      <c r="K3" s="42"/>
      <c r="L3" s="42"/>
      <c r="R3" s="24"/>
    </row>
    <row r="4" spans="1:18">
      <c r="A4" s="21"/>
      <c r="B4" s="25">
        <v>4</v>
      </c>
      <c r="C4" s="50" t="s">
        <v>1</v>
      </c>
      <c r="D4" s="92">
        <v>0.92800000000000005</v>
      </c>
      <c r="E4" s="87"/>
      <c r="F4" s="69" t="s">
        <v>62</v>
      </c>
      <c r="G4" s="23"/>
      <c r="H4" s="24"/>
      <c r="I4" s="63">
        <v>4</v>
      </c>
      <c r="J4" s="53" t="s">
        <v>1</v>
      </c>
      <c r="K4" s="93">
        <v>0.92300000000000004</v>
      </c>
      <c r="L4" s="87"/>
      <c r="M4" s="69" t="s">
        <v>62</v>
      </c>
      <c r="R4" s="24"/>
    </row>
    <row r="5" spans="1:18">
      <c r="A5" s="21"/>
      <c r="B5" s="25">
        <v>5</v>
      </c>
      <c r="C5" s="50" t="s">
        <v>2</v>
      </c>
      <c r="D5" s="27">
        <v>18</v>
      </c>
      <c r="E5" s="87" t="s">
        <v>3</v>
      </c>
      <c r="F5" s="82">
        <f>D5*D6</f>
        <v>3.2327586206896548</v>
      </c>
      <c r="G5" s="67" t="s">
        <v>63</v>
      </c>
      <c r="H5" s="24"/>
      <c r="I5" s="63">
        <v>5</v>
      </c>
      <c r="J5" s="53" t="s">
        <v>4</v>
      </c>
      <c r="K5" s="83">
        <v>3</v>
      </c>
      <c r="L5" s="87" t="s">
        <v>3</v>
      </c>
      <c r="M5" s="82">
        <f>K5*K6</f>
        <v>19.50162513542795</v>
      </c>
      <c r="N5" s="68" t="s">
        <v>63</v>
      </c>
      <c r="R5" s="24"/>
    </row>
    <row r="6" spans="1:18">
      <c r="A6" s="21"/>
      <c r="B6" s="25">
        <v>6</v>
      </c>
      <c r="C6" s="50" t="s">
        <v>5</v>
      </c>
      <c r="D6" s="77">
        <f>D7*D8/D5/D4</f>
        <v>0.17959770114942528</v>
      </c>
      <c r="E6" s="87" t="s">
        <v>6</v>
      </c>
      <c r="F6" s="97"/>
      <c r="G6" s="98"/>
      <c r="H6" s="24"/>
      <c r="I6" s="63">
        <v>6</v>
      </c>
      <c r="J6" s="53" t="s">
        <v>5</v>
      </c>
      <c r="K6" s="73">
        <f>K7*K8/K5/K4</f>
        <v>6.5005417118093174</v>
      </c>
      <c r="L6" s="87" t="s">
        <v>6</v>
      </c>
      <c r="M6" s="70" t="s">
        <v>7</v>
      </c>
      <c r="N6" s="1"/>
      <c r="R6" s="24"/>
    </row>
    <row r="7" spans="1:18">
      <c r="A7" s="21"/>
      <c r="B7" s="25">
        <v>7</v>
      </c>
      <c r="C7" s="50" t="s">
        <v>8</v>
      </c>
      <c r="D7" s="27">
        <v>3</v>
      </c>
      <c r="E7" s="87" t="s">
        <v>3</v>
      </c>
      <c r="F7" s="23"/>
      <c r="G7" s="23"/>
      <c r="H7" s="24"/>
      <c r="I7" s="63">
        <v>7</v>
      </c>
      <c r="J7" s="53" t="s">
        <v>9</v>
      </c>
      <c r="K7" s="72">
        <v>12</v>
      </c>
      <c r="L7" s="87" t="s">
        <v>3</v>
      </c>
      <c r="R7" s="24"/>
    </row>
    <row r="8" spans="1:18">
      <c r="A8" s="21"/>
      <c r="B8" s="25">
        <v>8</v>
      </c>
      <c r="C8" s="50" t="s">
        <v>10</v>
      </c>
      <c r="D8" s="27">
        <v>1</v>
      </c>
      <c r="E8" s="87" t="s">
        <v>6</v>
      </c>
      <c r="F8" s="70" t="s">
        <v>7</v>
      </c>
      <c r="G8" s="1"/>
      <c r="H8" s="24"/>
      <c r="I8" s="63">
        <v>8</v>
      </c>
      <c r="J8" s="53" t="s">
        <v>11</v>
      </c>
      <c r="K8" s="72">
        <v>1.5</v>
      </c>
      <c r="L8" s="87" t="s">
        <v>6</v>
      </c>
      <c r="R8" s="24"/>
    </row>
    <row r="9" spans="1:18">
      <c r="A9" s="21"/>
      <c r="B9" s="25">
        <v>9</v>
      </c>
      <c r="C9" s="50" t="s">
        <v>12</v>
      </c>
      <c r="D9" s="77">
        <f>D7*D8</f>
        <v>3</v>
      </c>
      <c r="E9" s="87" t="s">
        <v>13</v>
      </c>
      <c r="F9" s="23"/>
      <c r="G9" s="23"/>
      <c r="H9" s="24"/>
      <c r="I9" s="63">
        <v>9</v>
      </c>
      <c r="J9" s="53" t="s">
        <v>12</v>
      </c>
      <c r="K9" s="74">
        <f>K7*K8</f>
        <v>18</v>
      </c>
      <c r="L9" s="87" t="s">
        <v>13</v>
      </c>
      <c r="R9" s="24"/>
    </row>
    <row r="10" spans="1:18">
      <c r="A10" s="21"/>
      <c r="B10" s="25">
        <v>10</v>
      </c>
      <c r="C10" s="50" t="s">
        <v>79</v>
      </c>
      <c r="D10" s="28">
        <v>500</v>
      </c>
      <c r="E10" s="87" t="s">
        <v>14</v>
      </c>
      <c r="F10" s="23" t="s">
        <v>15</v>
      </c>
      <c r="G10" s="23"/>
      <c r="H10" s="24"/>
      <c r="I10" s="63">
        <v>10</v>
      </c>
      <c r="J10" s="53" t="s">
        <v>80</v>
      </c>
      <c r="K10" s="43">
        <v>500</v>
      </c>
      <c r="L10" s="87" t="s">
        <v>14</v>
      </c>
      <c r="M10" s="15" t="s">
        <v>15</v>
      </c>
      <c r="R10" s="24"/>
    </row>
    <row r="11" spans="1:18">
      <c r="A11" s="21"/>
      <c r="B11" s="25">
        <v>11</v>
      </c>
      <c r="C11" s="33" t="s">
        <v>16</v>
      </c>
      <c r="D11" s="78">
        <f>D7/D5</f>
        <v>0.16666666666666666</v>
      </c>
      <c r="E11" s="87"/>
      <c r="F11" s="23"/>
      <c r="G11" s="23"/>
      <c r="H11" s="24"/>
      <c r="I11" s="63">
        <v>11</v>
      </c>
      <c r="J11" s="54" t="s">
        <v>81</v>
      </c>
      <c r="K11" s="75">
        <f>(K7-K5)/K7</f>
        <v>0.75</v>
      </c>
      <c r="L11" s="87"/>
      <c r="R11" s="24"/>
    </row>
    <row r="12" spans="1:18">
      <c r="A12" s="21"/>
      <c r="B12" s="25">
        <v>12</v>
      </c>
      <c r="C12" s="33" t="s">
        <v>83</v>
      </c>
      <c r="D12" s="26">
        <v>0.4</v>
      </c>
      <c r="E12" s="87"/>
      <c r="F12" s="23"/>
      <c r="G12" s="23"/>
      <c r="H12" s="24"/>
      <c r="I12" s="63">
        <v>12</v>
      </c>
      <c r="J12" s="54" t="s">
        <v>82</v>
      </c>
      <c r="K12" s="71">
        <v>0.4</v>
      </c>
      <c r="L12" s="87"/>
      <c r="R12" s="24"/>
    </row>
    <row r="13" spans="1:18" ht="17.25" customHeight="1">
      <c r="A13" s="21"/>
      <c r="B13" s="25">
        <v>13</v>
      </c>
      <c r="C13" s="33" t="s">
        <v>17</v>
      </c>
      <c r="D13" s="77">
        <f>D12*D8</f>
        <v>0.4</v>
      </c>
      <c r="E13" s="87" t="s">
        <v>6</v>
      </c>
      <c r="F13" s="29" t="s">
        <v>18</v>
      </c>
      <c r="G13" s="23"/>
      <c r="H13" s="24"/>
      <c r="I13" s="63">
        <v>13</v>
      </c>
      <c r="J13" s="54" t="s">
        <v>19</v>
      </c>
      <c r="K13" s="73">
        <f>K6*K12</f>
        <v>2.6002166847237271</v>
      </c>
      <c r="L13" s="87" t="s">
        <v>6</v>
      </c>
      <c r="R13" s="24"/>
    </row>
    <row r="14" spans="1:18">
      <c r="A14" s="21"/>
      <c r="B14" s="25">
        <v>14</v>
      </c>
      <c r="C14" s="33" t="s">
        <v>77</v>
      </c>
      <c r="D14" s="30">
        <v>50</v>
      </c>
      <c r="E14" s="87" t="s">
        <v>20</v>
      </c>
      <c r="F14" s="23" t="s">
        <v>21</v>
      </c>
      <c r="G14" s="23"/>
      <c r="H14" s="24"/>
      <c r="I14" s="63">
        <v>14</v>
      </c>
      <c r="J14" s="54" t="s">
        <v>76</v>
      </c>
      <c r="K14" s="43">
        <v>100</v>
      </c>
      <c r="L14" s="87" t="s">
        <v>20</v>
      </c>
      <c r="M14" s="15" t="s">
        <v>21</v>
      </c>
      <c r="R14" s="24"/>
    </row>
    <row r="15" spans="1:18">
      <c r="A15" s="21"/>
      <c r="B15" s="25">
        <v>15</v>
      </c>
      <c r="C15" s="33" t="s">
        <v>72</v>
      </c>
      <c r="D15" s="77">
        <f>D13/8/D10/D14*1000000</f>
        <v>2</v>
      </c>
      <c r="E15" s="87" t="s">
        <v>22</v>
      </c>
      <c r="F15" s="23" t="s">
        <v>23</v>
      </c>
      <c r="G15" s="23"/>
      <c r="H15" s="24"/>
      <c r="I15" s="63">
        <v>15</v>
      </c>
      <c r="J15" s="54" t="s">
        <v>74</v>
      </c>
      <c r="K15" s="76">
        <f>K8*K11/K10/K14*1000000</f>
        <v>22.499999999999996</v>
      </c>
      <c r="L15" s="87" t="s">
        <v>22</v>
      </c>
      <c r="R15" s="24"/>
    </row>
    <row r="16" spans="1:18">
      <c r="A16" s="21"/>
      <c r="B16" s="31">
        <v>16</v>
      </c>
      <c r="C16" s="51" t="s">
        <v>24</v>
      </c>
      <c r="D16" s="81">
        <f>D7*(D5-D7)/D5/D13/D10*1000</f>
        <v>12.5</v>
      </c>
      <c r="E16" s="88" t="s">
        <v>25</v>
      </c>
      <c r="F16" s="23"/>
      <c r="G16" s="23"/>
      <c r="H16" s="24"/>
      <c r="I16" s="63">
        <v>16</v>
      </c>
      <c r="J16" s="55" t="s">
        <v>24</v>
      </c>
      <c r="K16" s="76">
        <f>K5*(K7-K5)/K7/K13/K10*1000</f>
        <v>1.7306249999999999</v>
      </c>
      <c r="L16" s="91" t="s">
        <v>66</v>
      </c>
      <c r="R16" s="24"/>
    </row>
    <row r="17" spans="1:18">
      <c r="A17" s="21"/>
      <c r="B17" s="32">
        <v>17</v>
      </c>
      <c r="C17" s="33" t="s">
        <v>78</v>
      </c>
      <c r="D17" s="77">
        <f>D8+D13/2</f>
        <v>1.2</v>
      </c>
      <c r="E17" s="89" t="s">
        <v>6</v>
      </c>
      <c r="F17" s="23"/>
      <c r="G17" s="23"/>
      <c r="H17" s="24"/>
      <c r="I17" s="64">
        <v>17</v>
      </c>
      <c r="J17" s="55" t="s">
        <v>78</v>
      </c>
      <c r="K17" s="77">
        <f>K6+K13/2</f>
        <v>7.8006500541711805</v>
      </c>
      <c r="L17" s="89" t="s">
        <v>6</v>
      </c>
      <c r="R17" s="24"/>
    </row>
    <row r="18" spans="1:18">
      <c r="A18" s="21"/>
      <c r="B18" s="32">
        <v>18</v>
      </c>
      <c r="C18" s="33" t="s">
        <v>26</v>
      </c>
      <c r="D18" s="77">
        <f>D8*SQRT(1+((D12^2)/12))</f>
        <v>1.0066445913694333</v>
      </c>
      <c r="E18" s="87" t="s">
        <v>6</v>
      </c>
      <c r="F18" s="23"/>
      <c r="G18" s="23"/>
      <c r="H18" s="24"/>
      <c r="I18" s="64">
        <v>18</v>
      </c>
      <c r="J18" s="55" t="s">
        <v>26</v>
      </c>
      <c r="K18" s="77">
        <f>K6*SQRT(1+((K12^2)/12))</f>
        <v>6.5437351551642466</v>
      </c>
      <c r="L18" s="48" t="s">
        <v>54</v>
      </c>
      <c r="R18" s="24"/>
    </row>
    <row r="19" spans="1:18" ht="19.5" customHeight="1">
      <c r="A19" s="21"/>
      <c r="B19" s="32">
        <v>19</v>
      </c>
      <c r="C19" s="85" t="s">
        <v>69</v>
      </c>
      <c r="D19" s="77">
        <f>D8/2</f>
        <v>0.5</v>
      </c>
      <c r="E19" s="87" t="s">
        <v>6</v>
      </c>
      <c r="F19" s="23"/>
      <c r="G19" s="23"/>
      <c r="H19" s="34"/>
      <c r="I19" s="64">
        <v>19</v>
      </c>
      <c r="J19" s="56" t="s">
        <v>27</v>
      </c>
      <c r="K19" s="77">
        <f>K6*K12/SQRT(12)</f>
        <v>0.75061790143830009</v>
      </c>
      <c r="L19" s="48" t="s">
        <v>54</v>
      </c>
      <c r="R19" s="24"/>
    </row>
    <row r="20" spans="1:18" ht="19.5" customHeight="1">
      <c r="A20" s="21"/>
      <c r="B20" s="32">
        <v>20</v>
      </c>
      <c r="C20" s="85" t="s">
        <v>70</v>
      </c>
      <c r="D20" s="77">
        <f>D8*D12/SQRT(12)</f>
        <v>0.11547005383792516</v>
      </c>
      <c r="E20" s="87" t="s">
        <v>6</v>
      </c>
      <c r="F20" s="23"/>
      <c r="G20" s="23"/>
      <c r="H20" s="24"/>
      <c r="I20" s="64">
        <v>20</v>
      </c>
      <c r="J20" s="56" t="s">
        <v>28</v>
      </c>
      <c r="K20" s="77">
        <f>K8*SQRT((K11+(K12^2/12))/(1-K11))</f>
        <v>2.6210684844162313</v>
      </c>
      <c r="L20" s="87" t="s">
        <v>6</v>
      </c>
      <c r="R20" s="24"/>
    </row>
    <row r="21" spans="1:18">
      <c r="A21" s="21"/>
      <c r="B21" s="32">
        <v>21</v>
      </c>
      <c r="C21" s="33" t="s">
        <v>71</v>
      </c>
      <c r="D21" s="76">
        <f>D8*D11*(1-D11)/D10/D22*1000000</f>
        <v>2.7777777777777781</v>
      </c>
      <c r="E21" s="87" t="s">
        <v>22</v>
      </c>
      <c r="F21" s="23"/>
      <c r="G21" s="23"/>
      <c r="H21" s="24"/>
      <c r="I21" s="64">
        <v>21</v>
      </c>
      <c r="J21" s="55" t="s">
        <v>73</v>
      </c>
      <c r="K21" s="74">
        <f>K8*K12/(1-K11)/K10/K22/8*1000000</f>
        <v>6</v>
      </c>
      <c r="L21" s="87" t="s">
        <v>22</v>
      </c>
      <c r="R21" s="24"/>
    </row>
    <row r="22" spans="1:18">
      <c r="A22" s="21"/>
      <c r="B22" s="32">
        <v>22</v>
      </c>
      <c r="C22" s="50" t="s">
        <v>68</v>
      </c>
      <c r="D22" s="35">
        <v>100</v>
      </c>
      <c r="E22" s="87" t="s">
        <v>20</v>
      </c>
      <c r="F22" s="23"/>
      <c r="G22" s="23"/>
      <c r="H22" s="24"/>
      <c r="I22" s="65">
        <v>22</v>
      </c>
      <c r="J22" s="52" t="s">
        <v>75</v>
      </c>
      <c r="K22" s="43">
        <v>100</v>
      </c>
      <c r="L22" s="87" t="s">
        <v>20</v>
      </c>
      <c r="R22" s="24"/>
    </row>
    <row r="23" spans="1:18">
      <c r="A23" s="21"/>
      <c r="B23" s="25">
        <v>23</v>
      </c>
      <c r="C23" s="50" t="s">
        <v>29</v>
      </c>
      <c r="D23" s="78">
        <f>D11/D10*1000</f>
        <v>0.33333333333333331</v>
      </c>
      <c r="E23" s="87" t="s">
        <v>30</v>
      </c>
      <c r="F23" s="23"/>
      <c r="G23" s="23"/>
      <c r="H23" s="24"/>
      <c r="I23" s="63">
        <v>23</v>
      </c>
      <c r="J23" s="53" t="s">
        <v>29</v>
      </c>
      <c r="K23" s="75">
        <f>K11/K10*1000</f>
        <v>1.5</v>
      </c>
      <c r="L23" s="87" t="s">
        <v>30</v>
      </c>
      <c r="R23" s="24"/>
    </row>
    <row r="24" spans="1:18">
      <c r="A24" s="21"/>
      <c r="B24" s="25">
        <v>24</v>
      </c>
      <c r="C24" s="50" t="s">
        <v>31</v>
      </c>
      <c r="D24" s="78">
        <f>1/D10*1000</f>
        <v>2</v>
      </c>
      <c r="E24" s="87" t="s">
        <v>30</v>
      </c>
      <c r="F24" s="23"/>
      <c r="G24" s="23"/>
      <c r="H24" s="24"/>
      <c r="I24" s="63">
        <v>24</v>
      </c>
      <c r="J24" s="53" t="s">
        <v>31</v>
      </c>
      <c r="K24" s="75">
        <f>1/K10*1000</f>
        <v>2</v>
      </c>
      <c r="L24" s="87" t="s">
        <v>30</v>
      </c>
      <c r="R24" s="24"/>
    </row>
    <row r="25" spans="1:18">
      <c r="A25" s="21"/>
      <c r="B25" s="18">
        <v>25</v>
      </c>
      <c r="C25" s="50" t="s">
        <v>50</v>
      </c>
      <c r="D25" s="77">
        <f>D8*SQRT(D11*(1+D12^2/12))</f>
        <v>0.41096093353126512</v>
      </c>
      <c r="E25" s="48" t="s">
        <v>54</v>
      </c>
      <c r="F25" s="23"/>
      <c r="G25" s="23"/>
      <c r="H25" s="24"/>
      <c r="I25" s="63">
        <v>25</v>
      </c>
      <c r="J25" s="53" t="s">
        <v>50</v>
      </c>
      <c r="K25" s="77">
        <f>K8*SQRT(K11*(1+K12^2/12))/(1-K11)</f>
        <v>5.2306787322488084</v>
      </c>
      <c r="L25" s="48" t="s">
        <v>54</v>
      </c>
      <c r="R25" s="24"/>
    </row>
    <row r="26" spans="1:18">
      <c r="A26" s="21"/>
      <c r="B26" s="18">
        <v>26</v>
      </c>
      <c r="C26" s="66" t="s">
        <v>52</v>
      </c>
      <c r="D26" s="79">
        <f>D8*SQRT((1-D11)*(1+D12^2/12))</f>
        <v>0.91893658347268148</v>
      </c>
      <c r="E26" s="48" t="s">
        <v>54</v>
      </c>
      <c r="F26" s="23"/>
      <c r="G26" s="23"/>
      <c r="H26" s="24"/>
      <c r="I26" s="63">
        <v>26</v>
      </c>
      <c r="J26" s="53" t="s">
        <v>52</v>
      </c>
      <c r="K26" s="77">
        <f>K8*SQRT((1+K12^2/12)/(1-K11))</f>
        <v>3.0199337741083001</v>
      </c>
      <c r="L26" s="48" t="s">
        <v>54</v>
      </c>
      <c r="R26" s="24"/>
    </row>
    <row r="27" spans="1:18" ht="15" thickBot="1">
      <c r="A27" s="21"/>
      <c r="B27" s="18">
        <v>27</v>
      </c>
      <c r="C27" s="60" t="s">
        <v>58</v>
      </c>
      <c r="D27" s="80">
        <f>D8*(1-D11)</f>
        <v>0.83333333333333337</v>
      </c>
      <c r="E27" s="90" t="s">
        <v>54</v>
      </c>
      <c r="F27" s="61" t="s">
        <v>61</v>
      </c>
      <c r="G27" s="37"/>
      <c r="H27" s="40"/>
      <c r="I27" s="63">
        <v>27</v>
      </c>
      <c r="J27" s="52" t="s">
        <v>58</v>
      </c>
      <c r="K27" s="73">
        <f>K8</f>
        <v>1.5</v>
      </c>
      <c r="L27" s="48" t="s">
        <v>54</v>
      </c>
      <c r="M27" s="48" t="s">
        <v>60</v>
      </c>
      <c r="R27" s="24"/>
    </row>
    <row r="28" spans="1:18">
      <c r="A28" s="21"/>
      <c r="C28" s="44" t="s">
        <v>84</v>
      </c>
      <c r="D28" s="22">
        <f>(D5-D7)*D23</f>
        <v>5</v>
      </c>
      <c r="E28" s="84"/>
      <c r="F28" s="23"/>
      <c r="G28" s="23"/>
      <c r="H28" s="23"/>
      <c r="I28" s="23"/>
      <c r="J28" s="44"/>
      <c r="R28" s="24"/>
    </row>
    <row r="29" spans="1:18">
      <c r="A29" s="21"/>
      <c r="C29" s="44"/>
      <c r="D29" s="22"/>
      <c r="E29" s="84"/>
      <c r="F29" s="23"/>
      <c r="G29" s="23"/>
      <c r="H29" s="23"/>
      <c r="I29" s="23"/>
      <c r="J29" s="44"/>
      <c r="R29" s="24"/>
    </row>
    <row r="30" spans="1:18">
      <c r="A30" s="21"/>
      <c r="C30" s="44"/>
      <c r="D30" s="22"/>
      <c r="E30" s="84"/>
      <c r="F30" s="23"/>
      <c r="G30" s="23"/>
      <c r="H30" s="23"/>
      <c r="I30" s="23"/>
      <c r="J30" s="44"/>
      <c r="R30" s="24"/>
    </row>
    <row r="31" spans="1:18">
      <c r="A31" s="21"/>
      <c r="C31" s="44"/>
      <c r="D31" s="22"/>
      <c r="E31" s="84"/>
      <c r="F31" s="23"/>
      <c r="G31" s="23"/>
      <c r="H31" s="23"/>
      <c r="I31" s="23"/>
      <c r="J31" s="44"/>
      <c r="R31" s="24"/>
    </row>
    <row r="32" spans="1:18">
      <c r="A32" s="21"/>
      <c r="C32" s="44"/>
      <c r="D32" s="22"/>
      <c r="E32" s="84"/>
      <c r="F32" s="23"/>
      <c r="G32" s="23"/>
      <c r="H32" s="23"/>
      <c r="I32" s="23"/>
      <c r="J32" s="44"/>
      <c r="R32" s="24"/>
    </row>
    <row r="33" spans="1:18">
      <c r="A33" s="21"/>
      <c r="C33" s="44"/>
      <c r="D33" s="22"/>
      <c r="E33" s="84"/>
      <c r="F33" s="23"/>
      <c r="G33" s="23"/>
      <c r="H33" s="23"/>
      <c r="I33" s="23"/>
      <c r="J33" s="44"/>
      <c r="R33" s="24"/>
    </row>
    <row r="34" spans="1:18">
      <c r="A34" s="21"/>
      <c r="C34" s="44"/>
      <c r="D34" s="22"/>
      <c r="E34" s="84"/>
      <c r="F34" s="23"/>
      <c r="G34" s="23"/>
      <c r="H34" s="23"/>
      <c r="I34" s="23"/>
      <c r="J34" s="44"/>
      <c r="R34" s="24"/>
    </row>
    <row r="35" spans="1:18">
      <c r="A35" s="21"/>
      <c r="C35" s="44"/>
      <c r="D35" s="22"/>
      <c r="E35" s="84"/>
      <c r="F35" s="23"/>
      <c r="G35" s="23"/>
      <c r="H35" s="23"/>
      <c r="I35" s="23"/>
      <c r="J35" s="44"/>
      <c r="R35" s="24"/>
    </row>
    <row r="36" spans="1:18">
      <c r="A36" s="21"/>
      <c r="C36" s="44"/>
      <c r="D36" s="22"/>
      <c r="E36" s="84"/>
      <c r="F36" s="23"/>
      <c r="G36" s="23"/>
      <c r="H36" s="23"/>
      <c r="I36" s="23"/>
      <c r="J36" s="44"/>
      <c r="R36" s="24"/>
    </row>
    <row r="37" spans="1:18">
      <c r="A37" s="21"/>
      <c r="C37" s="44"/>
      <c r="D37" s="22"/>
      <c r="E37" s="84"/>
      <c r="F37" s="23"/>
      <c r="G37" s="23"/>
      <c r="H37" s="23"/>
      <c r="I37" s="23"/>
      <c r="J37" s="44"/>
      <c r="R37" s="24"/>
    </row>
    <row r="38" spans="1:18">
      <c r="A38" s="21"/>
      <c r="C38" s="44"/>
      <c r="D38" s="22"/>
      <c r="E38" s="84"/>
      <c r="F38" s="23"/>
      <c r="G38" s="23"/>
      <c r="H38" s="23"/>
      <c r="I38" s="23"/>
      <c r="J38" s="44"/>
      <c r="R38" s="24"/>
    </row>
    <row r="39" spans="1:18">
      <c r="A39" s="21"/>
      <c r="C39" s="44"/>
      <c r="D39" s="22"/>
      <c r="E39" s="84"/>
      <c r="F39" s="23"/>
      <c r="G39" s="23"/>
      <c r="H39" s="24"/>
      <c r="I39" s="23"/>
      <c r="J39" s="44"/>
      <c r="R39" s="24"/>
    </row>
    <row r="40" spans="1:18">
      <c r="A40" s="21"/>
      <c r="C40" s="44"/>
      <c r="D40" s="22"/>
      <c r="E40" s="84"/>
      <c r="F40" s="23"/>
      <c r="G40" s="23"/>
      <c r="H40" s="24"/>
      <c r="I40" s="23"/>
      <c r="J40" s="44"/>
      <c r="R40" s="24"/>
    </row>
    <row r="41" spans="1:18">
      <c r="A41" s="21"/>
      <c r="C41" s="44"/>
      <c r="D41" s="22"/>
      <c r="E41" s="84"/>
      <c r="F41" s="23"/>
      <c r="G41" s="23"/>
      <c r="H41" s="24"/>
      <c r="I41" s="23"/>
      <c r="J41" s="44"/>
      <c r="R41" s="24"/>
    </row>
    <row r="42" spans="1:18">
      <c r="A42" s="21"/>
      <c r="C42" s="44"/>
      <c r="D42" s="22"/>
      <c r="E42" s="84"/>
      <c r="F42" s="23"/>
      <c r="G42" s="23"/>
      <c r="H42" s="24"/>
      <c r="I42" s="23"/>
      <c r="J42" s="44"/>
      <c r="R42" s="24"/>
    </row>
    <row r="43" spans="1:18">
      <c r="A43" s="21"/>
      <c r="C43" s="44"/>
      <c r="D43" s="22"/>
      <c r="E43" s="84"/>
      <c r="F43" s="23"/>
      <c r="G43" s="23"/>
      <c r="H43" s="24"/>
      <c r="I43" s="23"/>
      <c r="J43" s="44"/>
      <c r="R43" s="24"/>
    </row>
    <row r="44" spans="1:18">
      <c r="A44" s="21"/>
      <c r="C44" s="44"/>
      <c r="D44" s="22"/>
      <c r="E44" s="84"/>
      <c r="F44" s="23"/>
      <c r="G44" s="23"/>
      <c r="H44" s="24"/>
      <c r="I44" s="23"/>
      <c r="J44" s="44"/>
      <c r="R44" s="24"/>
    </row>
    <row r="45" spans="1:18" ht="15" thickBot="1">
      <c r="A45" s="36"/>
      <c r="B45" s="37"/>
      <c r="C45" s="38"/>
      <c r="D45" s="39"/>
      <c r="E45" s="46"/>
      <c r="F45" s="37"/>
      <c r="G45" s="37"/>
      <c r="H45" s="40"/>
      <c r="I45" s="36"/>
      <c r="J45" s="45"/>
      <c r="K45" s="46"/>
      <c r="L45" s="46"/>
      <c r="M45" s="37"/>
      <c r="N45" s="37"/>
      <c r="O45" s="37"/>
      <c r="P45" s="37"/>
      <c r="Q45" s="37"/>
      <c r="R45" s="40"/>
    </row>
  </sheetData>
  <sheetProtection selectLockedCells="1"/>
  <mergeCells count="3">
    <mergeCell ref="C1:H2"/>
    <mergeCell ref="I1:R2"/>
    <mergeCell ref="F6:G6"/>
  </mergeCells>
  <phoneticPr fontId="5" type="noConversion"/>
  <pageMargins left="0.69930555555555596" right="0.69930555555555596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绿色部分已锁定</vt:lpstr>
      <vt:lpstr>工作表2</vt:lpstr>
      <vt:lpstr>校准案例</vt:lpstr>
      <vt:lpstr>未锁定可查看公式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研发中心-付相超</cp:lastModifiedBy>
  <cp:lastPrinted>2020-06-01T08:46:46Z</cp:lastPrinted>
  <dcterms:created xsi:type="dcterms:W3CDTF">2006-09-16T00:00:00Z</dcterms:created>
  <dcterms:modified xsi:type="dcterms:W3CDTF">2021-09-17T05:35:42Z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