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半桥开关电源计算" sheetId="1" r:id="rId1"/>
  </sheets>
  <calcPr calcId="144525"/>
</workbook>
</file>

<file path=xl/calcChain.xml><?xml version="1.0" encoding="utf-8"?>
<calcChain xmlns="http://schemas.openxmlformats.org/spreadsheetml/2006/main">
  <c r="B4" i="1" l="1"/>
  <c r="B3" i="1"/>
  <c r="E13" i="1" l="1"/>
  <c r="E33" i="1"/>
  <c r="E36" i="1" s="1"/>
  <c r="E37" i="1" s="1"/>
  <c r="B24" i="1"/>
  <c r="B25" i="1" s="1"/>
  <c r="B26" i="1" s="1"/>
  <c r="B11" i="1"/>
  <c r="E8" i="1"/>
  <c r="E9" i="1" s="1"/>
  <c r="E6" i="1"/>
  <c r="B16" i="1" s="1"/>
  <c r="B27" i="1" l="1"/>
  <c r="G27" i="1" s="1"/>
  <c r="B28" i="1" s="1"/>
  <c r="B15" i="1"/>
  <c r="B23" i="1" s="1"/>
  <c r="B30" i="1"/>
  <c r="G30" i="1" s="1"/>
  <c r="B32" i="1"/>
  <c r="E34" i="1" s="1"/>
  <c r="E35" i="1" s="1"/>
  <c r="B17" i="1"/>
  <c r="B18" i="1" s="1"/>
  <c r="B19" i="1" l="1"/>
  <c r="B20" i="1" s="1"/>
  <c r="G20" i="1" s="1"/>
  <c r="B21" i="1" s="1"/>
  <c r="G15" i="1"/>
  <c r="G23" i="1"/>
</calcChain>
</file>

<file path=xl/sharedStrings.xml><?xml version="1.0" encoding="utf-8"?>
<sst xmlns="http://schemas.openxmlformats.org/spreadsheetml/2006/main" count="66" uniqueCount="59">
  <si>
    <t>输出电压</t>
    <phoneticPr fontId="1" type="noConversion"/>
  </si>
  <si>
    <t>输出电流</t>
    <phoneticPr fontId="1" type="noConversion"/>
  </si>
  <si>
    <t>额定母线电压</t>
    <phoneticPr fontId="1" type="noConversion"/>
  </si>
  <si>
    <t>周期</t>
    <phoneticPr fontId="1" type="noConversion"/>
  </si>
  <si>
    <t>导通时间</t>
    <phoneticPr fontId="1" type="noConversion"/>
  </si>
  <si>
    <t>磁芯</t>
    <phoneticPr fontId="1" type="noConversion"/>
  </si>
  <si>
    <t>AE</t>
    <phoneticPr fontId="1" type="noConversion"/>
  </si>
  <si>
    <t>PQ2620</t>
    <phoneticPr fontId="1" type="noConversion"/>
  </si>
  <si>
    <t>δB</t>
    <phoneticPr fontId="1" type="noConversion"/>
  </si>
  <si>
    <t>实际取值</t>
    <phoneticPr fontId="1" type="noConversion"/>
  </si>
  <si>
    <t>原边平顶电流</t>
    <phoneticPr fontId="1" type="noConversion"/>
  </si>
  <si>
    <t>有效值</t>
    <phoneticPr fontId="1" type="noConversion"/>
  </si>
  <si>
    <t>圆米尔</t>
    <phoneticPr fontId="1" type="noConversion"/>
  </si>
  <si>
    <t>最低母线电压</t>
    <phoneticPr fontId="1" type="noConversion"/>
  </si>
  <si>
    <t>Vdcmin</t>
    <phoneticPr fontId="1" type="noConversion"/>
  </si>
  <si>
    <t>Vo</t>
    <phoneticPr fontId="1" type="noConversion"/>
  </si>
  <si>
    <t>Io</t>
    <phoneticPr fontId="1" type="noConversion"/>
  </si>
  <si>
    <t>Ispft=Io*sqrt(D)</t>
    <phoneticPr fontId="1" type="noConversion"/>
  </si>
  <si>
    <t>Cb=Ippft*D/(0.1*Vdcmin)</t>
    <phoneticPr fontId="1" type="noConversion"/>
  </si>
  <si>
    <t>实际取值</t>
    <phoneticPr fontId="1" type="noConversion"/>
  </si>
  <si>
    <t>扼流圈电感量(uH)</t>
    <phoneticPr fontId="1" type="noConversion"/>
  </si>
  <si>
    <t>隔直电容(uF)</t>
    <phoneticPr fontId="1" type="noConversion"/>
  </si>
  <si>
    <t>匝数</t>
    <phoneticPr fontId="1" type="noConversion"/>
  </si>
  <si>
    <t>PQ2616</t>
    <phoneticPr fontId="1" type="noConversion"/>
  </si>
  <si>
    <t>最大输出电流</t>
    <phoneticPr fontId="1" type="noConversion"/>
  </si>
  <si>
    <t>圆密耳</t>
    <phoneticPr fontId="1" type="noConversion"/>
  </si>
  <si>
    <t>截面积(mm²)</t>
    <phoneticPr fontId="1" type="noConversion"/>
  </si>
  <si>
    <t>线径</t>
    <phoneticPr fontId="1" type="noConversion"/>
  </si>
  <si>
    <t>根数</t>
    <phoneticPr fontId="1" type="noConversion"/>
  </si>
  <si>
    <t>圆米尔</t>
    <phoneticPr fontId="1" type="noConversion"/>
  </si>
  <si>
    <t>单管最大占空比</t>
    <phoneticPr fontId="1" type="noConversion"/>
  </si>
  <si>
    <t>实际截面积(mm²)</t>
    <phoneticPr fontId="1" type="noConversion"/>
  </si>
  <si>
    <t>绕组截面积(mm²)</t>
    <phoneticPr fontId="1" type="noConversion"/>
  </si>
  <si>
    <t>EE4220</t>
  </si>
  <si>
    <t>EE4220</t>
    <phoneticPr fontId="1" type="noConversion"/>
  </si>
  <si>
    <t>L=0.5*Vo*T/Io</t>
    <phoneticPr fontId="1" type="noConversion"/>
  </si>
  <si>
    <t>输出功率Po</t>
    <phoneticPr fontId="1" type="noConversion"/>
  </si>
  <si>
    <t>整机效率</t>
    <phoneticPr fontId="1" type="noConversion"/>
  </si>
  <si>
    <t>开关频率(KHZ)</t>
    <phoneticPr fontId="1" type="noConversion"/>
  </si>
  <si>
    <t>实际单匝截面积(mm²)</t>
    <phoneticPr fontId="1" type="noConversion"/>
  </si>
  <si>
    <t>母线电压选择</t>
    <phoneticPr fontId="1" type="noConversion"/>
  </si>
  <si>
    <t>ACR</t>
  </si>
  <si>
    <t>单线截面积</t>
    <phoneticPr fontId="1" type="noConversion"/>
  </si>
  <si>
    <t>匝数</t>
    <phoneticPr fontId="1" type="noConversion"/>
  </si>
  <si>
    <t>最低匝数</t>
    <phoneticPr fontId="1" type="noConversion"/>
  </si>
  <si>
    <t>Np=(Vdcmin/2-1)*Ton/(Ae*δB)</t>
    <phoneticPr fontId="1" type="noConversion"/>
  </si>
  <si>
    <t>Ippft=3.125*Po/Vdcmin</t>
    <phoneticPr fontId="1" type="noConversion"/>
  </si>
  <si>
    <t>ACR:整流+大电容滤波
PFC:整流+升压</t>
    <phoneticPr fontId="1" type="noConversion"/>
  </si>
  <si>
    <t>Irms=Ipft*sqrt(D)</t>
    <phoneticPr fontId="1" type="noConversion"/>
  </si>
  <si>
    <t>Iprms*500</t>
    <phoneticPr fontId="1" type="noConversion"/>
  </si>
  <si>
    <t>Ns=(Vo/(2*D)+Vf)*Np/(Vdcmin/2-1)</t>
    <phoneticPr fontId="1" type="noConversion"/>
  </si>
  <si>
    <t>Vf：整流管压降</t>
    <phoneticPr fontId="1" type="noConversion"/>
  </si>
  <si>
    <t>平顶电流</t>
    <phoneticPr fontId="1" type="noConversion"/>
  </si>
  <si>
    <t>绕组截面积(mm²)</t>
    <phoneticPr fontId="1" type="noConversion"/>
  </si>
  <si>
    <t>磁通密度变化</t>
    <phoneticPr fontId="1" type="noConversion"/>
  </si>
  <si>
    <t>原边参数</t>
    <phoneticPr fontId="1" type="noConversion"/>
  </si>
  <si>
    <t>副边匝数</t>
    <phoneticPr fontId="1" type="noConversion"/>
  </si>
  <si>
    <t>EE磁芯中柱截面积</t>
    <phoneticPr fontId="1" type="noConversion"/>
  </si>
  <si>
    <t>实际取值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</si>
</sst>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/>
    <xf numFmtId="0" fontId="5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C10" sqref="C10"/>
    </sheetView>
  </sheetViews>
  <sheetFormatPr defaultRowHeight="13.5"/>
  <cols>
    <col min="1" max="1" width="20.625" bestFit="1" customWidth="1"/>
    <col min="2" max="2" width="12.75" bestFit="1" customWidth="1"/>
    <col min="3" max="3" width="17.375" bestFit="1" customWidth="1"/>
    <col min="4" max="4" width="36.125" bestFit="1" customWidth="1"/>
    <col min="5" max="5" width="15.25" bestFit="1" customWidth="1"/>
    <col min="6" max="6" width="9" bestFit="1" customWidth="1"/>
    <col min="7" max="7" width="4.5" bestFit="1" customWidth="1"/>
    <col min="8" max="8" width="15.25" bestFit="1" customWidth="1"/>
    <col min="9" max="9" width="9" bestFit="1" customWidth="1"/>
    <col min="10" max="10" width="3.5" bestFit="1" customWidth="1"/>
  </cols>
  <sheetData>
    <row r="1" spans="1:13">
      <c r="A1" t="s">
        <v>40</v>
      </c>
      <c r="B1" t="s">
        <v>41</v>
      </c>
      <c r="C1" s="5" t="s">
        <v>47</v>
      </c>
      <c r="D1" s="4"/>
    </row>
    <row r="2" spans="1:13">
      <c r="C2" s="4"/>
      <c r="D2" s="4"/>
    </row>
    <row r="3" spans="1:13">
      <c r="A3" t="s">
        <v>2</v>
      </c>
      <c r="B3">
        <f>IF(B1="ACR",INT(220*SQRT(2)),400)</f>
        <v>311</v>
      </c>
      <c r="D3" s="4"/>
      <c r="E3" s="4"/>
    </row>
    <row r="4" spans="1:13">
      <c r="A4" t="s">
        <v>13</v>
      </c>
      <c r="B4">
        <f>IF(B1="ACR",INT(220*0.8*SQRT(2)),380)</f>
        <v>248</v>
      </c>
      <c r="C4" t="s">
        <v>14</v>
      </c>
      <c r="D4" s="4"/>
      <c r="E4" s="4"/>
    </row>
    <row r="5" spans="1:13">
      <c r="A5" t="s">
        <v>0</v>
      </c>
      <c r="B5" s="1">
        <v>40</v>
      </c>
      <c r="C5" t="s">
        <v>15</v>
      </c>
      <c r="L5" t="s">
        <v>7</v>
      </c>
      <c r="M5">
        <v>119</v>
      </c>
    </row>
    <row r="6" spans="1:13">
      <c r="A6" t="s">
        <v>1</v>
      </c>
      <c r="B6" s="1">
        <v>5</v>
      </c>
      <c r="C6" t="s">
        <v>16</v>
      </c>
      <c r="D6" t="s">
        <v>36</v>
      </c>
      <c r="E6">
        <f>B5*B6</f>
        <v>200</v>
      </c>
      <c r="L6" t="s">
        <v>34</v>
      </c>
      <c r="M6">
        <v>229</v>
      </c>
    </row>
    <row r="7" spans="1:13">
      <c r="A7" t="s">
        <v>37</v>
      </c>
      <c r="B7">
        <v>0.8</v>
      </c>
    </row>
    <row r="8" spans="1:13">
      <c r="A8" t="s">
        <v>38</v>
      </c>
      <c r="B8">
        <v>38</v>
      </c>
      <c r="D8" t="s">
        <v>3</v>
      </c>
      <c r="E8">
        <f>1000/B8</f>
        <v>26.315789473684209</v>
      </c>
    </row>
    <row r="9" spans="1:13">
      <c r="A9" t="s">
        <v>30</v>
      </c>
      <c r="B9">
        <v>0.35</v>
      </c>
      <c r="D9" t="s">
        <v>4</v>
      </c>
      <c r="E9">
        <f>E8*B9</f>
        <v>9.2105263157894726</v>
      </c>
    </row>
    <row r="10" spans="1:13">
      <c r="A10" t="s">
        <v>5</v>
      </c>
      <c r="B10" t="s">
        <v>33</v>
      </c>
    </row>
    <row r="11" spans="1:13">
      <c r="A11" t="s">
        <v>6</v>
      </c>
      <c r="B11">
        <f>VLOOKUP(B10,L5:M6,2,FALSE)</f>
        <v>229</v>
      </c>
      <c r="C11" t="s">
        <v>57</v>
      </c>
    </row>
    <row r="12" spans="1:13">
      <c r="A12" t="s">
        <v>8</v>
      </c>
      <c r="B12" s="1">
        <v>0.2</v>
      </c>
      <c r="C12" t="s">
        <v>54</v>
      </c>
    </row>
    <row r="13" spans="1:13">
      <c r="A13" s="1" t="s">
        <v>27</v>
      </c>
      <c r="B13" s="3">
        <v>0.5</v>
      </c>
      <c r="D13" t="s">
        <v>42</v>
      </c>
      <c r="E13">
        <f>PI()*POWER(B13/2,2)</f>
        <v>0.19634954084936207</v>
      </c>
    </row>
    <row r="14" spans="1:13">
      <c r="A14" s="1" t="s">
        <v>55</v>
      </c>
    </row>
    <row r="15" spans="1:13">
      <c r="A15" t="s">
        <v>44</v>
      </c>
      <c r="B15">
        <f>(B4/2-1)*E9/(B11*B12)</f>
        <v>24.735692944150767</v>
      </c>
      <c r="D15" t="s">
        <v>45</v>
      </c>
      <c r="F15" t="s">
        <v>9</v>
      </c>
      <c r="G15" s="1">
        <f>INT(B15+0.5)</f>
        <v>25</v>
      </c>
    </row>
    <row r="16" spans="1:13">
      <c r="A16" t="s">
        <v>10</v>
      </c>
      <c r="B16">
        <f>3.125*E6/B4</f>
        <v>2.5201612903225805</v>
      </c>
      <c r="D16" t="s">
        <v>46</v>
      </c>
    </row>
    <row r="17" spans="1:7">
      <c r="A17" t="s">
        <v>11</v>
      </c>
      <c r="B17">
        <f>B16*SQRT(B9)</f>
        <v>1.490947525982766</v>
      </c>
      <c r="D17" t="s">
        <v>48</v>
      </c>
    </row>
    <row r="18" spans="1:7">
      <c r="A18" t="s">
        <v>12</v>
      </c>
      <c r="B18">
        <f>B17*500</f>
        <v>745.47376299138307</v>
      </c>
      <c r="D18" t="s">
        <v>49</v>
      </c>
    </row>
    <row r="19" spans="1:7">
      <c r="A19" t="s">
        <v>32</v>
      </c>
      <c r="B19">
        <f>B18*0.5066/1000</f>
        <v>0.37765700833143473</v>
      </c>
      <c r="D19" s="2"/>
    </row>
    <row r="20" spans="1:7">
      <c r="A20" t="s">
        <v>28</v>
      </c>
      <c r="B20">
        <f>B19/E13</f>
        <v>1.9233913494158381</v>
      </c>
      <c r="F20" t="s">
        <v>9</v>
      </c>
      <c r="G20" s="1">
        <f>INT(B20+1)</f>
        <v>2</v>
      </c>
    </row>
    <row r="21" spans="1:7">
      <c r="A21" t="s">
        <v>39</v>
      </c>
      <c r="B21">
        <f>G20*E13</f>
        <v>0.39269908169872414</v>
      </c>
    </row>
    <row r="22" spans="1:7">
      <c r="A22" s="1" t="s">
        <v>56</v>
      </c>
    </row>
    <row r="23" spans="1:7">
      <c r="A23" t="s">
        <v>43</v>
      </c>
      <c r="B23">
        <f>(B5/(2*B9)+1)*B15/(B4/2-1)</f>
        <v>11.692714318547459</v>
      </c>
      <c r="D23" t="s">
        <v>50</v>
      </c>
      <c r="E23" t="s">
        <v>51</v>
      </c>
      <c r="F23" t="s">
        <v>9</v>
      </c>
      <c r="G23" s="1">
        <f>INT(0.5+B23)</f>
        <v>12</v>
      </c>
    </row>
    <row r="24" spans="1:7">
      <c r="A24" t="s">
        <v>52</v>
      </c>
      <c r="B24">
        <f>B6*SQRT(B9)</f>
        <v>2.9580398915498081</v>
      </c>
      <c r="D24" t="s">
        <v>17</v>
      </c>
    </row>
    <row r="25" spans="1:7">
      <c r="A25" t="s">
        <v>29</v>
      </c>
      <c r="B25">
        <f>500*B24</f>
        <v>1479.019945774904</v>
      </c>
    </row>
    <row r="26" spans="1:7">
      <c r="A26" t="s">
        <v>53</v>
      </c>
      <c r="B26">
        <f>B25*0.5066/1000</f>
        <v>0.74927150452956637</v>
      </c>
    </row>
    <row r="27" spans="1:7">
      <c r="A27" t="s">
        <v>28</v>
      </c>
      <c r="B27">
        <f>B26/E13</f>
        <v>3.8160084372410221</v>
      </c>
      <c r="F27" t="s">
        <v>9</v>
      </c>
      <c r="G27" s="1">
        <f>INT(1+B27)</f>
        <v>4</v>
      </c>
    </row>
    <row r="28" spans="1:7">
      <c r="A28" t="s">
        <v>31</v>
      </c>
      <c r="B28">
        <f>G27*E13</f>
        <v>0.78539816339744828</v>
      </c>
    </row>
    <row r="30" spans="1:7">
      <c r="A30" s="1" t="s">
        <v>21</v>
      </c>
      <c r="B30">
        <f>B16*E9/(0.1*B4)</f>
        <v>0.93596822115121292</v>
      </c>
      <c r="D30" t="s">
        <v>18</v>
      </c>
      <c r="F30" s="6" t="s">
        <v>19</v>
      </c>
      <c r="G30" s="3">
        <f>INT(B30*1.5+0.5)</f>
        <v>1</v>
      </c>
    </row>
    <row r="31" spans="1:7">
      <c r="F31" s="7"/>
    </row>
    <row r="32" spans="1:7">
      <c r="A32" s="1" t="s">
        <v>20</v>
      </c>
      <c r="B32" s="1">
        <f>0.5*B5*E8/B6</f>
        <v>105.26315789473684</v>
      </c>
      <c r="D32" t="s">
        <v>35</v>
      </c>
      <c r="F32" s="7" t="s">
        <v>58</v>
      </c>
      <c r="G32" s="3">
        <v>330</v>
      </c>
    </row>
    <row r="33" spans="1:5">
      <c r="A33" t="s">
        <v>5</v>
      </c>
      <c r="B33" t="s">
        <v>23</v>
      </c>
      <c r="D33" t="s">
        <v>24</v>
      </c>
      <c r="E33">
        <f>1.05*B6</f>
        <v>5.25</v>
      </c>
    </row>
    <row r="34" spans="1:5">
      <c r="A34" t="s">
        <v>6</v>
      </c>
      <c r="B34">
        <v>62</v>
      </c>
      <c r="D34" t="s">
        <v>22</v>
      </c>
      <c r="E34">
        <f>B32*E33/(B12*B34)</f>
        <v>44.567062818336161</v>
      </c>
    </row>
    <row r="35" spans="1:5">
      <c r="D35" t="s">
        <v>9</v>
      </c>
      <c r="E35">
        <f>INT(E34)</f>
        <v>44</v>
      </c>
    </row>
    <row r="36" spans="1:5">
      <c r="D36" t="s">
        <v>25</v>
      </c>
      <c r="E36">
        <f>E33*500</f>
        <v>2625</v>
      </c>
    </row>
    <row r="37" spans="1:5">
      <c r="D37" t="s">
        <v>26</v>
      </c>
      <c r="E37">
        <f>E36*0.5066/1000</f>
        <v>1.329825</v>
      </c>
    </row>
  </sheetData>
  <mergeCells count="2">
    <mergeCell ref="D3:E4"/>
    <mergeCell ref="C1:D2"/>
  </mergeCells>
  <phoneticPr fontId="1" type="noConversion"/>
  <dataValidations count="2">
    <dataValidation type="list" allowBlank="1" showInputMessage="1" showErrorMessage="1" sqref="B10">
      <formula1>$L$5:$L$6</formula1>
    </dataValidation>
    <dataValidation type="list" allowBlank="1" showInputMessage="1" showErrorMessage="1" sqref="B1:B2">
      <formula1>"ACR,PFC"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半桥开关电源计算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2020-08-25T07:01:59Z</dcterms:modified>
</cp:coreProperties>
</file>