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definedNames>
    <definedName name="_R12">Sheet1!$K$10</definedName>
    <definedName name="_R8">Sheet1!$K$9</definedName>
    <definedName name="Ae">Sheet1!$E$17</definedName>
    <definedName name="Bs">Sheet1!$E$16</definedName>
    <definedName name="di_p">Sheet1!$E$20</definedName>
    <definedName name="Dmax">Sheet1!$E$11</definedName>
    <definedName name="fsw">Sheet1!$E$13</definedName>
    <definedName name="Idc_max">Sheet1!$E$7</definedName>
    <definedName name="Io">Sheet1!$E$9</definedName>
    <definedName name="Kd">Sheet1!$E$19</definedName>
    <definedName name="Lp">Sheet1!$E$21</definedName>
    <definedName name="n">Sheet1!$E$23</definedName>
    <definedName name="Nas">Sheet1!$K$6</definedName>
    <definedName name="Np">Sheet1!$E$22</definedName>
    <definedName name="Pmax">Sheet1!$E$5</definedName>
    <definedName name="Po">Sheet1!$E$10</definedName>
    <definedName name="S">Sheet1!$E$15</definedName>
    <definedName name="ton_max">Sheet1!$E$14</definedName>
    <definedName name="Vac_max">Sheet1!$E$4</definedName>
    <definedName name="Vac_min">Sheet1!$E$3</definedName>
    <definedName name="Vaux">Sheet1!$K$7</definedName>
    <definedName name="Vdc_max">Sheet1!$E$6</definedName>
    <definedName name="Vfb">Sheet1!$K$8</definedName>
    <definedName name="Vo">Sheet1!$E$8</definedName>
    <definedName name="Vth">Sheet1!$K$4</definedName>
    <definedName name="Vth_ton">Sheet1!$K$3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" l="1"/>
  <c r="K7" i="1"/>
  <c r="K11" i="1" s="1"/>
  <c r="E28" i="1" l="1"/>
  <c r="J32" i="1"/>
  <c r="J33" i="1" s="1"/>
  <c r="J34" i="1" s="1"/>
  <c r="E25" i="1"/>
  <c r="K3" i="1"/>
  <c r="E17" i="1" l="1"/>
  <c r="E14" i="1" l="1"/>
  <c r="K4" i="1" s="1"/>
  <c r="G23" i="1" l="1"/>
  <c r="G22" i="1"/>
  <c r="E10" i="1"/>
  <c r="E5" i="1" s="1"/>
  <c r="E7" i="1" s="1"/>
  <c r="K15" i="1" s="1"/>
  <c r="E6" i="1"/>
  <c r="E23" i="1" l="1"/>
  <c r="E29" i="1"/>
  <c r="E30" i="1" s="1"/>
  <c r="E20" i="1"/>
  <c r="E21" i="1" s="1"/>
  <c r="K5" i="1" l="1"/>
  <c r="E22" i="1"/>
  <c r="E24" i="1"/>
  <c r="E31" i="1"/>
  <c r="E32" i="1" s="1"/>
</calcChain>
</file>

<file path=xl/comments1.xml><?xml version="1.0" encoding="utf-8"?>
<comments xmlns="http://schemas.openxmlformats.org/spreadsheetml/2006/main">
  <authors>
    <author>作者</author>
  </authors>
  <commentList>
    <comment ref="E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建议0.5以下</t>
        </r>
      </text>
    </comment>
    <comment ref="E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OP2500最高频率只有90KHz</t>
        </r>
      </text>
    </comment>
    <comment ref="E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PC40材料建议0.25~0.3</t>
        </r>
      </text>
    </comment>
    <comment ref="E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建议5~8A/mm^2</t>
        </r>
      </text>
    </comment>
    <comment ref="E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占空比最大时（输入电压最小并满载），依然保持DCM。所以实际值可以再小一点</t>
        </r>
      </text>
    </comment>
  </commentList>
</comments>
</file>

<file path=xl/sharedStrings.xml><?xml version="1.0" encoding="utf-8"?>
<sst xmlns="http://schemas.openxmlformats.org/spreadsheetml/2006/main" count="113" uniqueCount="103">
  <si>
    <t>最大输入交流电压 Vac_max</t>
    <phoneticPr fontId="1" type="noConversion"/>
  </si>
  <si>
    <t>最小输入交流电压 Vac_min</t>
    <phoneticPr fontId="1" type="noConversion"/>
  </si>
  <si>
    <t>输出电压 Vo</t>
    <phoneticPr fontId="1" type="noConversion"/>
  </si>
  <si>
    <t>输出电流 Io</t>
    <phoneticPr fontId="1" type="noConversion"/>
  </si>
  <si>
    <t>最大占空比 Dmax</t>
    <phoneticPr fontId="1" type="noConversion"/>
  </si>
  <si>
    <t>name</t>
    <phoneticPr fontId="1" type="noConversion"/>
  </si>
  <si>
    <t>value</t>
    <phoneticPr fontId="1" type="noConversion"/>
  </si>
  <si>
    <t>unit</t>
    <phoneticPr fontId="1" type="noConversion"/>
  </si>
  <si>
    <t>V</t>
    <phoneticPr fontId="1" type="noConversion"/>
  </si>
  <si>
    <t>V</t>
    <phoneticPr fontId="1" type="noConversion"/>
  </si>
  <si>
    <t>A</t>
    <phoneticPr fontId="1" type="noConversion"/>
  </si>
  <si>
    <t>最大输入功率 Pmax</t>
    <phoneticPr fontId="1" type="noConversion"/>
  </si>
  <si>
    <t>输出功率 Po</t>
    <phoneticPr fontId="1" type="noConversion"/>
  </si>
  <si>
    <t>最大输入直流电压 Vdc_max</t>
    <phoneticPr fontId="1" type="noConversion"/>
  </si>
  <si>
    <t>最大输入直流电流 Idc_max</t>
    <phoneticPr fontId="1" type="noConversion"/>
  </si>
  <si>
    <t>W</t>
    <phoneticPr fontId="1" type="noConversion"/>
  </si>
  <si>
    <t>AC</t>
    <phoneticPr fontId="1" type="noConversion"/>
  </si>
  <si>
    <t>DC</t>
    <phoneticPr fontId="1" type="noConversion"/>
  </si>
  <si>
    <t>输入</t>
    <phoneticPr fontId="1" type="noConversion"/>
  </si>
  <si>
    <t>DC</t>
    <phoneticPr fontId="1" type="noConversion"/>
  </si>
  <si>
    <t>输出</t>
    <phoneticPr fontId="1" type="noConversion"/>
  </si>
  <si>
    <t>最大工作频率 fsw</t>
    <phoneticPr fontId="1" type="noConversion"/>
  </si>
  <si>
    <t>最大导通时间 ton_max</t>
    <phoneticPr fontId="1" type="noConversion"/>
  </si>
  <si>
    <t>KHz</t>
    <phoneticPr fontId="1" type="noConversion"/>
  </si>
  <si>
    <t>芯片工作
状态</t>
    <phoneticPr fontId="1" type="noConversion"/>
  </si>
  <si>
    <t>最大磁通密度 Bs</t>
    <phoneticPr fontId="1" type="noConversion"/>
  </si>
  <si>
    <t>T</t>
    <phoneticPr fontId="1" type="noConversion"/>
  </si>
  <si>
    <t>磁芯有效面积 Ae</t>
    <phoneticPr fontId="1" type="noConversion"/>
  </si>
  <si>
    <t>mm^2</t>
    <phoneticPr fontId="1" type="noConversion"/>
  </si>
  <si>
    <t>骨架填充系数 Kf</t>
    <phoneticPr fontId="1" type="noConversion"/>
  </si>
  <si>
    <t>线圈电流密度 Kd</t>
    <phoneticPr fontId="1" type="noConversion"/>
  </si>
  <si>
    <t>A/mm^2</t>
    <phoneticPr fontId="1" type="noConversion"/>
  </si>
  <si>
    <t>选用骨架尺寸 S</t>
    <phoneticPr fontId="1" type="noConversion"/>
  </si>
  <si>
    <t>最大初级电感峰值电流 di_p</t>
    <phoneticPr fontId="1" type="noConversion"/>
  </si>
  <si>
    <t>A</t>
    <phoneticPr fontId="1" type="noConversion"/>
  </si>
  <si>
    <t>初级电感值 Lp</t>
    <phoneticPr fontId="1" type="noConversion"/>
  </si>
  <si>
    <t>初级匝数 Np</t>
    <phoneticPr fontId="1" type="noConversion"/>
  </si>
  <si>
    <t>Ts</t>
    <phoneticPr fontId="1" type="noConversion"/>
  </si>
  <si>
    <t>理论的初/次匝数比 n</t>
    <phoneticPr fontId="1" type="noConversion"/>
  </si>
  <si>
    <t>最大匝比(未考虑MOS耐压)</t>
    <phoneticPr fontId="1" type="noConversion"/>
  </si>
  <si>
    <t>最小匝比</t>
    <phoneticPr fontId="1" type="noConversion"/>
  </si>
  <si>
    <t>初级线径</t>
    <phoneticPr fontId="1" type="noConversion"/>
  </si>
  <si>
    <t>次级线径</t>
    <phoneticPr fontId="1" type="noConversion"/>
  </si>
  <si>
    <t>mm</t>
    <phoneticPr fontId="1" type="noConversion"/>
  </si>
  <si>
    <t>mm</t>
    <phoneticPr fontId="1" type="noConversion"/>
  </si>
  <si>
    <t>变压器
参数选择</t>
    <phoneticPr fontId="1" type="noConversion"/>
  </si>
  <si>
    <t>EE13</t>
    <phoneticPr fontId="1" type="noConversion"/>
  </si>
  <si>
    <t>W</t>
    <phoneticPr fontId="1" type="noConversion"/>
  </si>
  <si>
    <t>mH</t>
    <phoneticPr fontId="1" type="noConversion"/>
  </si>
  <si>
    <t>次级电感量</t>
    <phoneticPr fontId="1" type="noConversion"/>
  </si>
  <si>
    <t>反推</t>
    <phoneticPr fontId="1" type="noConversion"/>
  </si>
  <si>
    <t>选用的匝比</t>
    <phoneticPr fontId="1" type="noConversion"/>
  </si>
  <si>
    <t>初级电感量</t>
    <phoneticPr fontId="1" type="noConversion"/>
  </si>
  <si>
    <t>uH</t>
    <phoneticPr fontId="1" type="noConversion"/>
  </si>
  <si>
    <t>uH</t>
    <phoneticPr fontId="1" type="noConversion"/>
  </si>
  <si>
    <t>初级匝数</t>
    <phoneticPr fontId="1" type="noConversion"/>
  </si>
  <si>
    <t>%</t>
    <phoneticPr fontId="1" type="noConversion"/>
  </si>
  <si>
    <r>
      <t xml:space="preserve">效率 </t>
    </r>
    <r>
      <rPr>
        <sz val="11"/>
        <color theme="1"/>
        <rFont val="等线"/>
        <family val="2"/>
        <charset val="134"/>
      </rPr>
      <t>ŋ</t>
    </r>
    <phoneticPr fontId="1" type="noConversion"/>
  </si>
  <si>
    <t>us</t>
    <phoneticPr fontId="1" type="noConversion"/>
  </si>
  <si>
    <t>限流阈值电压系数 Vth/ton</t>
    <phoneticPr fontId="1" type="noConversion"/>
  </si>
  <si>
    <t>限流阈值电压 Vth</t>
    <phoneticPr fontId="1" type="noConversion"/>
  </si>
  <si>
    <t>V</t>
    <phoneticPr fontId="1" type="noConversion"/>
  </si>
  <si>
    <t>Ω</t>
    <phoneticPr fontId="1" type="noConversion"/>
  </si>
  <si>
    <t>OB2500参数选择</t>
    <phoneticPr fontId="1" type="noConversion"/>
  </si>
  <si>
    <t>mV/us</t>
    <phoneticPr fontId="1" type="noConversion"/>
  </si>
  <si>
    <t>上拉</t>
    <phoneticPr fontId="1" type="noConversion"/>
  </si>
  <si>
    <t>下拉</t>
    <phoneticPr fontId="1" type="noConversion"/>
  </si>
  <si>
    <t>R8</t>
    <phoneticPr fontId="1" type="noConversion"/>
  </si>
  <si>
    <t>R12</t>
    <phoneticPr fontId="1" type="noConversion"/>
  </si>
  <si>
    <t>R11</t>
    <phoneticPr fontId="1" type="noConversion"/>
  </si>
  <si>
    <t>变压器</t>
    <phoneticPr fontId="1" type="noConversion"/>
  </si>
  <si>
    <t>KΩ</t>
  </si>
  <si>
    <t>KΩ</t>
    <phoneticPr fontId="1" type="noConversion"/>
  </si>
  <si>
    <t>Y1</t>
    <phoneticPr fontId="1" type="noConversion"/>
  </si>
  <si>
    <t>Y2</t>
    <phoneticPr fontId="1" type="noConversion"/>
  </si>
  <si>
    <t>X1</t>
    <phoneticPr fontId="1" type="noConversion"/>
  </si>
  <si>
    <t>X2</t>
    <phoneticPr fontId="1" type="noConversion"/>
  </si>
  <si>
    <t>di/dt</t>
    <phoneticPr fontId="1" type="noConversion"/>
  </si>
  <si>
    <t>us</t>
    <phoneticPr fontId="1" type="noConversion"/>
  </si>
  <si>
    <t>mV</t>
    <phoneticPr fontId="1" type="noConversion"/>
  </si>
  <si>
    <t>A/S</t>
    <phoneticPr fontId="1" type="noConversion"/>
  </si>
  <si>
    <t>L</t>
    <phoneticPr fontId="1" type="noConversion"/>
  </si>
  <si>
    <t>U</t>
    <phoneticPr fontId="1" type="noConversion"/>
  </si>
  <si>
    <t>mH</t>
    <phoneticPr fontId="1" type="noConversion"/>
  </si>
  <si>
    <t>uH</t>
    <phoneticPr fontId="1" type="noConversion"/>
  </si>
  <si>
    <t>感量测量</t>
    <phoneticPr fontId="1" type="noConversion"/>
  </si>
  <si>
    <t>FB脚
（检测电压峰峰值，
不是有效值）</t>
    <phoneticPr fontId="1" type="noConversion"/>
  </si>
  <si>
    <t>CS脚
(检测电流峰峰值，
不是有效值)</t>
    <phoneticPr fontId="1" type="noConversion"/>
  </si>
  <si>
    <t>限流电阻 R10</t>
    <phoneticPr fontId="1" type="noConversion"/>
  </si>
  <si>
    <t>辅助绕组/次级绕组 Nas</t>
    <phoneticPr fontId="1" type="noConversion"/>
  </si>
  <si>
    <t>FB脚参考电压 Vfb</t>
    <phoneticPr fontId="1" type="noConversion"/>
  </si>
  <si>
    <t>辅助绕组电压 Vaux</t>
    <phoneticPr fontId="1" type="noConversion"/>
  </si>
  <si>
    <t>次级匝数</t>
    <phoneticPr fontId="1" type="noConversion"/>
  </si>
  <si>
    <t>Ts</t>
    <phoneticPr fontId="1" type="noConversion"/>
  </si>
  <si>
    <t>作者：  熊</t>
    <phoneticPr fontId="1" type="noConversion"/>
  </si>
  <si>
    <t>选用封装</t>
    <phoneticPr fontId="1" type="noConversion"/>
  </si>
  <si>
    <t>SOP-7</t>
    <phoneticPr fontId="1" type="noConversion"/>
  </si>
  <si>
    <t>MOS管内阻</t>
    <phoneticPr fontId="1" type="noConversion"/>
  </si>
  <si>
    <t>°C/W</t>
    <phoneticPr fontId="1" type="noConversion"/>
  </si>
  <si>
    <t>芯片温度</t>
    <phoneticPr fontId="1" type="noConversion"/>
  </si>
  <si>
    <t>MOS管耗散率</t>
    <phoneticPr fontId="1" type="noConversion"/>
  </si>
  <si>
    <t>Ω</t>
    <phoneticPr fontId="1" type="noConversion"/>
  </si>
  <si>
    <t>°C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</si>
</sst>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等线"/>
      <family val="2"/>
      <charset val="134"/>
    </font>
    <font>
      <sz val="11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0" borderId="8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0" borderId="0" xfId="0" applyProtection="1"/>
    <xf numFmtId="176" fontId="5" fillId="3" borderId="4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Border="1" applyProtection="1"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5" fillId="0" borderId="14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5" fillId="4" borderId="27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5"/>
  <sheetViews>
    <sheetView tabSelected="1" topLeftCell="B1" zoomScale="145" zoomScaleNormal="145" workbookViewId="0">
      <selection activeCell="G9" sqref="G9"/>
    </sheetView>
  </sheetViews>
  <sheetFormatPr defaultRowHeight="13.8" x14ac:dyDescent="0.25"/>
  <cols>
    <col min="3" max="3" width="11.33203125" customWidth="1"/>
    <col min="4" max="4" width="26.88671875" style="1" customWidth="1"/>
    <col min="5" max="5" width="13.44140625" style="2" bestFit="1" customWidth="1"/>
    <col min="6" max="6" width="10.88671875" style="3" customWidth="1"/>
    <col min="8" max="8" width="12.109375" customWidth="1"/>
    <col min="9" max="9" width="8" customWidth="1"/>
    <col min="10" max="10" width="22.6640625" customWidth="1"/>
    <col min="11" max="11" width="12.44140625" customWidth="1"/>
  </cols>
  <sheetData>
    <row r="2" spans="2:12" ht="16.2" thickBot="1" x14ac:dyDescent="0.4">
      <c r="B2" s="4"/>
      <c r="C2" s="4"/>
      <c r="D2" s="51" t="s">
        <v>5</v>
      </c>
      <c r="E2" s="51" t="s">
        <v>6</v>
      </c>
      <c r="F2" s="51" t="s">
        <v>7</v>
      </c>
      <c r="G2" s="5"/>
      <c r="H2" s="68" t="s">
        <v>63</v>
      </c>
      <c r="I2" s="69"/>
      <c r="J2" s="69"/>
      <c r="K2" s="69"/>
      <c r="L2" s="70"/>
    </row>
    <row r="3" spans="2:12" ht="16.5" customHeight="1" x14ac:dyDescent="0.35">
      <c r="B3" s="91" t="s">
        <v>18</v>
      </c>
      <c r="C3" s="77" t="s">
        <v>16</v>
      </c>
      <c r="D3" s="42" t="s">
        <v>1</v>
      </c>
      <c r="E3" s="6">
        <v>85</v>
      </c>
      <c r="F3" s="7" t="s">
        <v>8</v>
      </c>
      <c r="G3" s="5"/>
      <c r="H3" s="71" t="s">
        <v>87</v>
      </c>
      <c r="I3" s="72"/>
      <c r="J3" s="34" t="s">
        <v>59</v>
      </c>
      <c r="K3" s="49">
        <f>(0.59-0.5)/(6.4-1.6)*1000</f>
        <v>18.749999999999993</v>
      </c>
      <c r="L3" s="8" t="s">
        <v>64</v>
      </c>
    </row>
    <row r="4" spans="2:12" ht="16.2" thickBot="1" x14ac:dyDescent="0.4">
      <c r="B4" s="79"/>
      <c r="C4" s="78"/>
      <c r="D4" s="43" t="s">
        <v>0</v>
      </c>
      <c r="E4" s="9">
        <v>265</v>
      </c>
      <c r="F4" s="10" t="s">
        <v>9</v>
      </c>
      <c r="G4" s="5"/>
      <c r="H4" s="73"/>
      <c r="I4" s="74"/>
      <c r="J4" s="35" t="s">
        <v>60</v>
      </c>
      <c r="K4" s="32">
        <f>ROUND(IF(ton_max-1.6&gt;0,(ton_max-1.6)*(Vth_ton/1000)+0.5,“导通时间太小”),3)</f>
        <v>0.55100000000000005</v>
      </c>
      <c r="L4" s="12" t="s">
        <v>61</v>
      </c>
    </row>
    <row r="5" spans="2:12" ht="16.2" thickBot="1" x14ac:dyDescent="0.4">
      <c r="B5" s="79"/>
      <c r="C5" s="78" t="s">
        <v>17</v>
      </c>
      <c r="D5" s="42" t="s">
        <v>11</v>
      </c>
      <c r="E5" s="27">
        <f>Po/E12</f>
        <v>20.625</v>
      </c>
      <c r="F5" s="7" t="s">
        <v>15</v>
      </c>
      <c r="G5" s="5"/>
      <c r="H5" s="75"/>
      <c r="I5" s="76"/>
      <c r="J5" s="36" t="s">
        <v>88</v>
      </c>
      <c r="K5" s="50">
        <f>ROUND(K4/di_p,2)</f>
        <v>0.48</v>
      </c>
      <c r="L5" s="13" t="s">
        <v>62</v>
      </c>
    </row>
    <row r="6" spans="2:12" ht="15.6" x14ac:dyDescent="0.35">
      <c r="B6" s="79"/>
      <c r="C6" s="78"/>
      <c r="D6" s="44" t="s">
        <v>13</v>
      </c>
      <c r="E6" s="23">
        <f>Vac_max*1.4</f>
        <v>371</v>
      </c>
      <c r="F6" s="14" t="s">
        <v>9</v>
      </c>
      <c r="G6" s="5"/>
      <c r="H6" s="71" t="s">
        <v>86</v>
      </c>
      <c r="I6" s="77" t="s">
        <v>70</v>
      </c>
      <c r="J6" s="37" t="s">
        <v>89</v>
      </c>
      <c r="K6" s="30">
        <v>1</v>
      </c>
      <c r="L6" s="8"/>
    </row>
    <row r="7" spans="2:12" ht="16.2" thickBot="1" x14ac:dyDescent="0.4">
      <c r="B7" s="80"/>
      <c r="C7" s="90"/>
      <c r="D7" s="43" t="s">
        <v>14</v>
      </c>
      <c r="E7" s="24">
        <f>ROUNDUP(Pmax/(Vac_min*1.4),3)</f>
        <v>0.17399999999999999</v>
      </c>
      <c r="F7" s="10" t="s">
        <v>10</v>
      </c>
      <c r="G7" s="5"/>
      <c r="H7" s="79"/>
      <c r="I7" s="78"/>
      <c r="J7" s="38" t="s">
        <v>91</v>
      </c>
      <c r="K7" s="32">
        <f>ROUND(IF(Vo*Nas/(1-Dmax)&lt;28,Vo*Nas/(1-Dmax),"过压!调整匝比"),2)</f>
        <v>7.86</v>
      </c>
      <c r="L7" s="15" t="s">
        <v>61</v>
      </c>
    </row>
    <row r="8" spans="2:12" ht="15.6" x14ac:dyDescent="0.35">
      <c r="B8" s="91" t="s">
        <v>20</v>
      </c>
      <c r="C8" s="77" t="s">
        <v>19</v>
      </c>
      <c r="D8" s="42" t="s">
        <v>2</v>
      </c>
      <c r="E8" s="6">
        <v>5.5</v>
      </c>
      <c r="F8" s="7" t="s">
        <v>10</v>
      </c>
      <c r="G8" s="5"/>
      <c r="H8" s="79"/>
      <c r="I8" s="40"/>
      <c r="J8" s="38" t="s">
        <v>90</v>
      </c>
      <c r="K8" s="32">
        <v>2.5</v>
      </c>
      <c r="L8" s="15" t="s">
        <v>61</v>
      </c>
    </row>
    <row r="9" spans="2:12" ht="15.6" x14ac:dyDescent="0.35">
      <c r="B9" s="79"/>
      <c r="C9" s="78"/>
      <c r="D9" s="44" t="s">
        <v>3</v>
      </c>
      <c r="E9" s="16">
        <v>3</v>
      </c>
      <c r="F9" s="14" t="s">
        <v>10</v>
      </c>
      <c r="G9" s="5"/>
      <c r="H9" s="79"/>
      <c r="I9" s="78" t="s">
        <v>65</v>
      </c>
      <c r="J9" s="38" t="s">
        <v>67</v>
      </c>
      <c r="K9" s="31">
        <v>10</v>
      </c>
      <c r="L9" s="12" t="s">
        <v>72</v>
      </c>
    </row>
    <row r="10" spans="2:12" ht="16.2" thickBot="1" x14ac:dyDescent="0.4">
      <c r="B10" s="93"/>
      <c r="C10" s="92"/>
      <c r="D10" s="45" t="s">
        <v>12</v>
      </c>
      <c r="E10" s="28">
        <f>Vo*Io</f>
        <v>16.5</v>
      </c>
      <c r="F10" s="17" t="s">
        <v>47</v>
      </c>
      <c r="G10" s="5"/>
      <c r="H10" s="79"/>
      <c r="I10" s="78"/>
      <c r="J10" s="38" t="s">
        <v>68</v>
      </c>
      <c r="K10" s="31">
        <v>20</v>
      </c>
      <c r="L10" s="12" t="s">
        <v>71</v>
      </c>
    </row>
    <row r="11" spans="2:12" ht="16.2" thickBot="1" x14ac:dyDescent="0.4">
      <c r="B11" s="71" t="s">
        <v>24</v>
      </c>
      <c r="C11" s="77"/>
      <c r="D11" s="42" t="s">
        <v>4</v>
      </c>
      <c r="E11" s="6">
        <v>0.3</v>
      </c>
      <c r="F11" s="7"/>
      <c r="G11" s="5"/>
      <c r="H11" s="80"/>
      <c r="I11" s="41" t="s">
        <v>66</v>
      </c>
      <c r="J11" s="39" t="s">
        <v>69</v>
      </c>
      <c r="K11" s="33">
        <f>ROUND((Vfb/Vaux)/(1-Vfb/Vaux)*(_R8+_R12),1)</f>
        <v>14</v>
      </c>
      <c r="L11" s="22" t="s">
        <v>71</v>
      </c>
    </row>
    <row r="12" spans="2:12" ht="15.6" x14ac:dyDescent="0.35">
      <c r="B12" s="79"/>
      <c r="C12" s="78"/>
      <c r="D12" s="44" t="s">
        <v>57</v>
      </c>
      <c r="E12" s="16">
        <v>0.8</v>
      </c>
      <c r="F12" s="14" t="s">
        <v>56</v>
      </c>
      <c r="G12" s="5"/>
      <c r="H12" s="18"/>
      <c r="I12" s="19"/>
      <c r="J12" s="56" t="s">
        <v>95</v>
      </c>
      <c r="K12" s="57" t="s">
        <v>96</v>
      </c>
      <c r="L12" s="58"/>
    </row>
    <row r="13" spans="2:12" ht="15.6" x14ac:dyDescent="0.35">
      <c r="B13" s="79"/>
      <c r="C13" s="78"/>
      <c r="D13" s="44" t="s">
        <v>21</v>
      </c>
      <c r="E13" s="16">
        <v>70</v>
      </c>
      <c r="F13" s="14" t="s">
        <v>23</v>
      </c>
      <c r="G13" s="5"/>
      <c r="J13" s="59" t="s">
        <v>100</v>
      </c>
      <c r="K13" s="60">
        <f>IF(K12="SOP-7",95,IF(K12="SOP-8",90,"NULL"))</f>
        <v>95</v>
      </c>
      <c r="L13" s="61" t="s">
        <v>98</v>
      </c>
    </row>
    <row r="14" spans="2:12" ht="16.2" thickBot="1" x14ac:dyDescent="0.4">
      <c r="B14" s="80"/>
      <c r="C14" s="90"/>
      <c r="D14" s="45" t="s">
        <v>22</v>
      </c>
      <c r="E14" s="28">
        <f>ROUND(Dmax/fsw*1000,1)</f>
        <v>4.3</v>
      </c>
      <c r="F14" s="17" t="s">
        <v>58</v>
      </c>
      <c r="J14" s="59" t="s">
        <v>97</v>
      </c>
      <c r="K14" s="60">
        <v>4</v>
      </c>
      <c r="L14" s="61" t="s">
        <v>101</v>
      </c>
    </row>
    <row r="15" spans="2:12" ht="13.95" customHeight="1" thickBot="1" x14ac:dyDescent="0.4">
      <c r="B15" s="81" t="s">
        <v>45</v>
      </c>
      <c r="C15" s="82"/>
      <c r="D15" s="46" t="s">
        <v>32</v>
      </c>
      <c r="E15" s="6" t="s">
        <v>46</v>
      </c>
      <c r="F15" s="7"/>
      <c r="J15" s="53" t="s">
        <v>99</v>
      </c>
      <c r="K15" s="62">
        <f>K13*K14*Idc_max*Idc_max+25</f>
        <v>36.50488</v>
      </c>
      <c r="L15" s="55" t="s">
        <v>102</v>
      </c>
    </row>
    <row r="16" spans="2:12" ht="15.6" x14ac:dyDescent="0.25">
      <c r="B16" s="83"/>
      <c r="C16" s="84"/>
      <c r="D16" s="47" t="s">
        <v>25</v>
      </c>
      <c r="E16" s="16">
        <v>0.28000000000000003</v>
      </c>
      <c r="F16" s="14" t="s">
        <v>26</v>
      </c>
      <c r="G16" s="5"/>
      <c r="J16" s="5"/>
      <c r="K16" s="5"/>
      <c r="L16" s="5"/>
    </row>
    <row r="17" spans="2:12" ht="15.6" x14ac:dyDescent="0.25">
      <c r="B17" s="83"/>
      <c r="C17" s="84"/>
      <c r="D17" s="47" t="s">
        <v>27</v>
      </c>
      <c r="E17" s="23">
        <f>IF(S="EE05",2.63,IF(S="EE6.3",3.31,IF(S="EE08",7,IF(S="EE10",12.1,IF(S="EE13",17.1,IF(S="EE16",19.2,"NULL"))))))</f>
        <v>17.100000000000001</v>
      </c>
      <c r="F17" s="14" t="s">
        <v>28</v>
      </c>
      <c r="G17" s="5"/>
      <c r="L17" s="5"/>
    </row>
    <row r="18" spans="2:12" ht="15.6" x14ac:dyDescent="0.25">
      <c r="B18" s="83"/>
      <c r="C18" s="84"/>
      <c r="D18" s="47" t="s">
        <v>29</v>
      </c>
      <c r="E18" s="16">
        <v>0.4</v>
      </c>
      <c r="F18" s="14"/>
      <c r="G18" s="5"/>
      <c r="L18" s="5"/>
    </row>
    <row r="19" spans="2:12" ht="15.6" x14ac:dyDescent="0.25">
      <c r="B19" s="83"/>
      <c r="C19" s="84"/>
      <c r="D19" s="47" t="s">
        <v>30</v>
      </c>
      <c r="E19" s="16">
        <v>7</v>
      </c>
      <c r="F19" s="14" t="s">
        <v>31</v>
      </c>
      <c r="G19" s="5"/>
      <c r="I19" s="5"/>
      <c r="J19" s="26"/>
    </row>
    <row r="20" spans="2:12" ht="15.6" x14ac:dyDescent="0.25">
      <c r="B20" s="83"/>
      <c r="C20" s="84"/>
      <c r="D20" s="47" t="s">
        <v>33</v>
      </c>
      <c r="E20" s="23">
        <f>ROUNDUP(2*Idc_max/Dmax,3)</f>
        <v>1.1599999999999999</v>
      </c>
      <c r="F20" s="14" t="s">
        <v>34</v>
      </c>
      <c r="G20" s="5"/>
      <c r="I20" s="5"/>
      <c r="J20" s="5"/>
    </row>
    <row r="21" spans="2:12" ht="15.6" x14ac:dyDescent="0.25">
      <c r="B21" s="83"/>
      <c r="C21" s="84"/>
      <c r="D21" s="47" t="s">
        <v>35</v>
      </c>
      <c r="E21" s="23">
        <f>ROUNDUP( ((Vac_min*1.4* (ton_max/1000000)) /di_p)*1000,2)</f>
        <v>0.45</v>
      </c>
      <c r="F21" s="14" t="s">
        <v>48</v>
      </c>
      <c r="G21" s="5"/>
      <c r="I21" s="5"/>
      <c r="J21" s="5"/>
    </row>
    <row r="22" spans="2:12" ht="15.6" x14ac:dyDescent="0.25">
      <c r="B22" s="83"/>
      <c r="C22" s="84"/>
      <c r="D22" s="47" t="s">
        <v>36</v>
      </c>
      <c r="E22" s="23">
        <f>ROUNDUP(((Lp)*di_p/(Bs*Ae))*1000,0)</f>
        <v>110</v>
      </c>
      <c r="F22" s="14" t="s">
        <v>37</v>
      </c>
      <c r="G22" s="25">
        <f>ROUNDDOWN(Vac_min*1.4/Vo,0)</f>
        <v>21</v>
      </c>
      <c r="H22" s="18" t="s">
        <v>39</v>
      </c>
      <c r="I22" s="5"/>
      <c r="J22" s="5"/>
    </row>
    <row r="23" spans="2:12" ht="15.6" x14ac:dyDescent="0.25">
      <c r="B23" s="83"/>
      <c r="C23" s="84"/>
      <c r="D23" s="47" t="s">
        <v>38</v>
      </c>
      <c r="E23" s="23">
        <f>MIN(ROUNDUP(Vo*((1-Dmax)/fsw*1000)/(2*Io/(1-Dmax)),0),G22)</f>
        <v>7</v>
      </c>
      <c r="F23" s="14"/>
      <c r="G23" s="25">
        <f>ROUNDUP(21/Vo,0)</f>
        <v>4</v>
      </c>
      <c r="H23" s="18" t="s">
        <v>40</v>
      </c>
    </row>
    <row r="24" spans="2:12" ht="15.6" x14ac:dyDescent="0.25">
      <c r="B24" s="83"/>
      <c r="C24" s="84"/>
      <c r="D24" s="47" t="s">
        <v>41</v>
      </c>
      <c r="E24" s="23">
        <f>ROUNDUP(4*di_p/(Kd*PI()),2)</f>
        <v>0.22</v>
      </c>
      <c r="F24" s="14" t="s">
        <v>43</v>
      </c>
      <c r="J24" s="5"/>
    </row>
    <row r="25" spans="2:12" ht="16.2" thickBot="1" x14ac:dyDescent="0.3">
      <c r="B25" s="85"/>
      <c r="C25" s="86"/>
      <c r="D25" s="48" t="s">
        <v>42</v>
      </c>
      <c r="E25" s="24">
        <f>ROUNDUP((4*(2*Io/Dmax)/(Kd*PI()))*(Dmax/0.5),2)</f>
        <v>2.19</v>
      </c>
      <c r="F25" s="10" t="s">
        <v>44</v>
      </c>
      <c r="I25" s="26" t="s">
        <v>94</v>
      </c>
      <c r="J25" s="5"/>
    </row>
    <row r="26" spans="2:12" ht="14.4" thickBot="1" x14ac:dyDescent="0.3">
      <c r="B26" s="5"/>
      <c r="C26" s="5"/>
      <c r="D26" s="18"/>
      <c r="E26" s="19"/>
      <c r="F26" s="20"/>
      <c r="L26" s="5"/>
    </row>
    <row r="27" spans="2:12" ht="15.6" x14ac:dyDescent="0.35">
      <c r="B27" s="21"/>
      <c r="C27" s="21"/>
      <c r="D27" s="87" t="s">
        <v>50</v>
      </c>
      <c r="E27" s="88"/>
      <c r="F27" s="89"/>
      <c r="G27" s="5"/>
      <c r="H27" s="65" t="s">
        <v>85</v>
      </c>
      <c r="I27" s="29" t="s">
        <v>82</v>
      </c>
      <c r="J27" s="30">
        <v>2</v>
      </c>
      <c r="K27" s="8" t="s">
        <v>61</v>
      </c>
      <c r="L27" s="5"/>
    </row>
    <row r="28" spans="2:12" ht="15.6" x14ac:dyDescent="0.35">
      <c r="C28" s="5"/>
      <c r="D28" s="52" t="s">
        <v>49</v>
      </c>
      <c r="E28" s="23">
        <f>Vo*((1-Dmax)/fsw/1000)/(2*Io/(1-Dmax))*1000000*1.5</f>
        <v>9.625</v>
      </c>
      <c r="F28" s="14" t="s">
        <v>53</v>
      </c>
      <c r="H28" s="66"/>
      <c r="I28" s="11" t="s">
        <v>75</v>
      </c>
      <c r="J28" s="31">
        <v>7.0000000000000007E-2</v>
      </c>
      <c r="K28" s="12" t="s">
        <v>78</v>
      </c>
      <c r="L28" s="5"/>
    </row>
    <row r="29" spans="2:12" ht="15.6" x14ac:dyDescent="0.35">
      <c r="C29" s="5"/>
      <c r="D29" s="52" t="s">
        <v>51</v>
      </c>
      <c r="E29" s="23">
        <f>MIN(ROUNDUP(Vo*((1-Dmax)/fsw*1000)/(2*Io/(1-Dmax)),0),G22)</f>
        <v>7</v>
      </c>
      <c r="F29" s="14"/>
      <c r="H29" s="66"/>
      <c r="I29" s="11" t="s">
        <v>76</v>
      </c>
      <c r="J29" s="31">
        <v>1.06</v>
      </c>
      <c r="K29" s="12" t="s">
        <v>78</v>
      </c>
      <c r="L29" s="5"/>
    </row>
    <row r="30" spans="2:12" ht="15.6" x14ac:dyDescent="0.35">
      <c r="B30" s="5"/>
      <c r="C30" s="5"/>
      <c r="D30" s="52" t="s">
        <v>52</v>
      </c>
      <c r="E30" s="23">
        <f>E28*E29*E29</f>
        <v>471.625</v>
      </c>
      <c r="F30" s="14" t="s">
        <v>54</v>
      </c>
      <c r="H30" s="66"/>
      <c r="I30" s="11" t="s">
        <v>73</v>
      </c>
      <c r="J30" s="31">
        <v>367</v>
      </c>
      <c r="K30" s="12" t="s">
        <v>79</v>
      </c>
      <c r="L30" s="5"/>
    </row>
    <row r="31" spans="2:12" ht="15.6" x14ac:dyDescent="0.35">
      <c r="B31" s="5"/>
      <c r="C31" s="5"/>
      <c r="D31" s="52" t="s">
        <v>55</v>
      </c>
      <c r="E31" s="23">
        <f>ROUNDUP(((E30/1000)*di_p/(Bs*Ae))*1000,0)</f>
        <v>115</v>
      </c>
      <c r="F31" s="14" t="s">
        <v>93</v>
      </c>
      <c r="G31" s="5"/>
      <c r="H31" s="66"/>
      <c r="I31" s="11" t="s">
        <v>74</v>
      </c>
      <c r="J31" s="31">
        <v>515</v>
      </c>
      <c r="K31" s="12" t="s">
        <v>79</v>
      </c>
      <c r="L31" s="5"/>
    </row>
    <row r="32" spans="2:12" ht="16.2" thickBot="1" x14ac:dyDescent="0.4">
      <c r="D32" s="53" t="s">
        <v>92</v>
      </c>
      <c r="E32" s="54">
        <f>ROUNDUP(E31/E29,0)</f>
        <v>17</v>
      </c>
      <c r="F32" s="55" t="s">
        <v>93</v>
      </c>
      <c r="H32" s="66"/>
      <c r="I32" s="11" t="s">
        <v>77</v>
      </c>
      <c r="J32" s="32">
        <f>((J31-J30)/7.2/1000)/((J29-J28)/1000000)</f>
        <v>20763.187429854093</v>
      </c>
      <c r="K32" s="12" t="s">
        <v>80</v>
      </c>
      <c r="L32" s="5"/>
    </row>
    <row r="33" spans="8:12" ht="15.6" x14ac:dyDescent="0.35">
      <c r="H33" s="66"/>
      <c r="I33" s="63" t="s">
        <v>81</v>
      </c>
      <c r="J33" s="32">
        <f>ROUND(J27/J32*1000,4)</f>
        <v>9.6299999999999997E-2</v>
      </c>
      <c r="K33" s="12" t="s">
        <v>83</v>
      </c>
      <c r="L33" s="5"/>
    </row>
    <row r="34" spans="8:12" ht="16.2" thickBot="1" x14ac:dyDescent="0.4">
      <c r="H34" s="67"/>
      <c r="I34" s="64"/>
      <c r="J34" s="33">
        <f>J33*1000</f>
        <v>96.3</v>
      </c>
      <c r="K34" s="22" t="s">
        <v>84</v>
      </c>
      <c r="L34" s="5"/>
    </row>
    <row r="35" spans="8:12" x14ac:dyDescent="0.25">
      <c r="K35" s="5"/>
      <c r="L35" s="5"/>
    </row>
  </sheetData>
  <mergeCells count="15">
    <mergeCell ref="B15:C25"/>
    <mergeCell ref="D27:F27"/>
    <mergeCell ref="C3:C4"/>
    <mergeCell ref="C5:C7"/>
    <mergeCell ref="B3:B7"/>
    <mergeCell ref="C8:C10"/>
    <mergeCell ref="B8:B10"/>
    <mergeCell ref="B11:C14"/>
    <mergeCell ref="I33:I34"/>
    <mergeCell ref="H27:H34"/>
    <mergeCell ref="H2:L2"/>
    <mergeCell ref="H3:I5"/>
    <mergeCell ref="I6:I7"/>
    <mergeCell ref="I9:I10"/>
    <mergeCell ref="H6:H11"/>
  </mergeCells>
  <phoneticPr fontId="1" type="noConversion"/>
  <pageMargins left="0.7" right="0.7" top="0.75" bottom="0.75" header="0.3" footer="0.3"/>
  <pageSetup paperSize="9" orientation="portrait" horizontalDpi="200" verticalDpi="20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26</vt:i4>
      </vt:variant>
    </vt:vector>
  </HeadingPairs>
  <TitlesOfParts>
    <vt:vector size="27" baseType="lpstr">
      <vt:lpstr>Sheet1</vt:lpstr>
      <vt:lpstr>_R12</vt:lpstr>
      <vt:lpstr>_R8</vt:lpstr>
      <vt:lpstr>Ae</vt:lpstr>
      <vt:lpstr>Bs</vt:lpstr>
      <vt:lpstr>di_p</vt:lpstr>
      <vt:lpstr>Dmax</vt:lpstr>
      <vt:lpstr>fsw</vt:lpstr>
      <vt:lpstr>Idc_max</vt:lpstr>
      <vt:lpstr>Io</vt:lpstr>
      <vt:lpstr>Kd</vt:lpstr>
      <vt:lpstr>Lp</vt:lpstr>
      <vt:lpstr>n</vt:lpstr>
      <vt:lpstr>Nas</vt:lpstr>
      <vt:lpstr>Np</vt:lpstr>
      <vt:lpstr>Pmax</vt:lpstr>
      <vt:lpstr>Po</vt:lpstr>
      <vt:lpstr>S</vt:lpstr>
      <vt:lpstr>ton_max</vt:lpstr>
      <vt:lpstr>Vac_max</vt:lpstr>
      <vt:lpstr>Vac_min</vt:lpstr>
      <vt:lpstr>Vaux</vt:lpstr>
      <vt:lpstr>Vdc_max</vt:lpstr>
      <vt:lpstr>Vfb</vt:lpstr>
      <vt:lpstr>Vo</vt:lpstr>
      <vt:lpstr>Vth</vt:lpstr>
      <vt:lpstr>Vth_ton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2019-11-12T11:48:33Z</dcterms:modified>
</cp:coreProperties>
</file>