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workbookProtection lockWindows="1"/>
  <bookViews>
    <workbookView xWindow="-120" yWindow="-120" windowWidth="20730" windowHeight="11160"/>
  </bookViews>
  <sheets>
    <sheet name="变压器设计" sheetId="1" r:id="rId1"/>
    <sheet name="常用变压器磁芯" sheetId="7" r:id="rId2"/>
    <sheet name="漆包线常用规格" sheetId="8" r:id="rId3"/>
  </sheets>
  <definedNames>
    <definedName name="Fswmax">变压器设计!$E$14</definedName>
    <definedName name="integral">变压器设计!$R$11</definedName>
    <definedName name="Iout">变压器设计!$B$12</definedName>
    <definedName name="Iprms">变压器设计!$F$19</definedName>
    <definedName name="L">变压器设计!$B$24</definedName>
    <definedName name="Lreal">变压器设计!$F$24</definedName>
    <definedName name="_xlnm.Print_Area" localSheetId="0">变压器设计!$A$1:$G$67</definedName>
    <definedName name="Vacmin">变压器设计!$F$12</definedName>
    <definedName name="Vdf">变压器设计!$B$18</definedName>
    <definedName name="Vout">变压器设计!$B$11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E106" i="1" l="1"/>
  <c r="E101" i="1"/>
  <c r="I97" i="1"/>
  <c r="I100" i="1"/>
  <c r="F93" i="1"/>
  <c r="E97" i="1"/>
  <c r="E90" i="1"/>
  <c r="B12" i="1"/>
  <c r="E35" i="1"/>
  <c r="F35" i="1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4" i="1"/>
  <c r="N15" i="1"/>
  <c r="N16" i="1"/>
  <c r="N17" i="1"/>
  <c r="N18" i="1"/>
  <c r="N19" i="1"/>
  <c r="N13" i="1"/>
  <c r="F38" i="1"/>
  <c r="B3" i="8"/>
  <c r="I3" i="8" s="1"/>
  <c r="B4" i="8"/>
  <c r="I4" i="8" s="1"/>
  <c r="F4" i="8"/>
  <c r="B5" i="8"/>
  <c r="F5" i="8" s="1"/>
  <c r="B6" i="8"/>
  <c r="F6" i="8"/>
  <c r="B7" i="8"/>
  <c r="F7" i="8" s="1"/>
  <c r="B8" i="8"/>
  <c r="F8" i="8" s="1"/>
  <c r="I8" i="8"/>
  <c r="B9" i="8"/>
  <c r="F9" i="8" s="1"/>
  <c r="B10" i="8"/>
  <c r="F10" i="8" s="1"/>
  <c r="B11" i="8"/>
  <c r="I11" i="8" s="1"/>
  <c r="F11" i="8"/>
  <c r="B12" i="8"/>
  <c r="I12" i="8" s="1"/>
  <c r="F12" i="8"/>
  <c r="B13" i="8"/>
  <c r="F13" i="8" s="1"/>
  <c r="B14" i="8"/>
  <c r="F14" i="8" s="1"/>
  <c r="B15" i="8"/>
  <c r="I15" i="8"/>
  <c r="F15" i="8"/>
  <c r="B16" i="8"/>
  <c r="F16" i="8" s="1"/>
  <c r="B17" i="8"/>
  <c r="I17" i="8" s="1"/>
  <c r="F17" i="8"/>
  <c r="B18" i="8"/>
  <c r="F18" i="8" s="1"/>
  <c r="B19" i="8"/>
  <c r="I19" i="8" s="1"/>
  <c r="B20" i="8"/>
  <c r="I20" i="8" s="1"/>
  <c r="F20" i="8"/>
  <c r="B21" i="8"/>
  <c r="F21" i="8" s="1"/>
  <c r="B22" i="8"/>
  <c r="F22" i="8" s="1"/>
  <c r="B23" i="8"/>
  <c r="F23" i="8" s="1"/>
  <c r="I23" i="8"/>
  <c r="B24" i="8"/>
  <c r="F24" i="8" s="1"/>
  <c r="B25" i="8"/>
  <c r="I25" i="8" s="1"/>
  <c r="F25" i="8"/>
  <c r="B26" i="8"/>
  <c r="F26" i="8" s="1"/>
  <c r="B27" i="8"/>
  <c r="I27" i="8" s="1"/>
  <c r="F27" i="8"/>
  <c r="B28" i="8"/>
  <c r="F28" i="8" s="1"/>
  <c r="I28" i="8"/>
  <c r="B29" i="8"/>
  <c r="F29" i="8" s="1"/>
  <c r="B30" i="8"/>
  <c r="F30" i="8" s="1"/>
  <c r="B31" i="8"/>
  <c r="F31" i="8" s="1"/>
  <c r="I31" i="8"/>
  <c r="B32" i="8"/>
  <c r="F32" i="8" s="1"/>
  <c r="B33" i="8"/>
  <c r="I33" i="8" s="1"/>
  <c r="F33" i="8"/>
  <c r="B34" i="8"/>
  <c r="F34" i="8" s="1"/>
  <c r="B35" i="8"/>
  <c r="I35" i="8" s="1"/>
  <c r="B36" i="8"/>
  <c r="I36" i="8" s="1"/>
  <c r="F36" i="8"/>
  <c r="B37" i="8"/>
  <c r="F37" i="8" s="1"/>
  <c r="B38" i="8"/>
  <c r="I38" i="8" s="1"/>
  <c r="F38" i="8"/>
  <c r="B39" i="8"/>
  <c r="F39" i="8" s="1"/>
  <c r="B40" i="8"/>
  <c r="F40" i="8" s="1"/>
  <c r="I40" i="8"/>
  <c r="B41" i="8"/>
  <c r="F41" i="8" s="1"/>
  <c r="B42" i="8"/>
  <c r="F42" i="8" s="1"/>
  <c r="B43" i="8"/>
  <c r="I43" i="8" s="1"/>
  <c r="B44" i="8"/>
  <c r="I44" i="8" s="1"/>
  <c r="B45" i="8"/>
  <c r="F45" i="8" s="1"/>
  <c r="B46" i="8"/>
  <c r="I46" i="8" s="1"/>
  <c r="F46" i="8"/>
  <c r="B47" i="8"/>
  <c r="I47" i="8" s="1"/>
  <c r="F47" i="8"/>
  <c r="B48" i="8"/>
  <c r="F48" i="8" s="1"/>
  <c r="B49" i="8"/>
  <c r="I49" i="8" s="1"/>
  <c r="B50" i="8"/>
  <c r="F50" i="8" s="1"/>
  <c r="B51" i="8"/>
  <c r="I51" i="8" s="1"/>
  <c r="B52" i="8"/>
  <c r="I52" i="8" s="1"/>
  <c r="B53" i="8"/>
  <c r="F53" i="8" s="1"/>
  <c r="B54" i="8"/>
  <c r="F54" i="8" s="1"/>
  <c r="B55" i="8"/>
  <c r="F55" i="8" s="1"/>
  <c r="I55" i="8"/>
  <c r="B56" i="8"/>
  <c r="F56" i="8" s="1"/>
  <c r="B57" i="8"/>
  <c r="I57" i="8" s="1"/>
  <c r="F57" i="8"/>
  <c r="B58" i="8"/>
  <c r="F58" i="8" s="1"/>
  <c r="B59" i="8"/>
  <c r="I59" i="8" s="1"/>
  <c r="F59" i="8"/>
  <c r="B60" i="8"/>
  <c r="F60" i="8" s="1"/>
  <c r="I60" i="8"/>
  <c r="B61" i="8"/>
  <c r="F61" i="8" s="1"/>
  <c r="B62" i="8"/>
  <c r="I62" i="8" s="1"/>
  <c r="B63" i="8"/>
  <c r="I63" i="8" s="1"/>
  <c r="B64" i="8"/>
  <c r="I64" i="8" s="1"/>
  <c r="B65" i="8"/>
  <c r="F65" i="8" s="1"/>
  <c r="B66" i="8"/>
  <c r="I66" i="8" s="1"/>
  <c r="F66" i="8"/>
  <c r="B67" i="8"/>
  <c r="F67" i="8" s="1"/>
  <c r="B68" i="8"/>
  <c r="G68" i="8" s="1"/>
  <c r="F68" i="8"/>
  <c r="B69" i="8"/>
  <c r="G69" i="8" s="1"/>
  <c r="B70" i="8"/>
  <c r="G70" i="8" s="1"/>
  <c r="B71" i="8"/>
  <c r="F71" i="8" s="1"/>
  <c r="B72" i="8"/>
  <c r="F72" i="8" s="1"/>
  <c r="B73" i="8"/>
  <c r="F73" i="8" s="1"/>
  <c r="G73" i="8"/>
  <c r="B74" i="8"/>
  <c r="G74" i="8" s="1"/>
  <c r="B75" i="8"/>
  <c r="I75" i="8" s="1"/>
  <c r="G75" i="8"/>
  <c r="B76" i="8"/>
  <c r="H76" i="8" s="1"/>
  <c r="B77" i="8"/>
  <c r="F77" i="8" s="1"/>
  <c r="I77" i="8"/>
  <c r="B78" i="8"/>
  <c r="H78" i="8" s="1"/>
  <c r="I78" i="8"/>
  <c r="B79" i="8"/>
  <c r="F79" i="8" s="1"/>
  <c r="B80" i="8"/>
  <c r="B81" i="8"/>
  <c r="G81" i="8" s="1"/>
  <c r="B82" i="8"/>
  <c r="F82" i="8" s="1"/>
  <c r="B83" i="8"/>
  <c r="F83" i="8" s="1"/>
  <c r="B84" i="8"/>
  <c r="H84" i="8" s="1"/>
  <c r="F13" i="1"/>
  <c r="B11" i="1"/>
  <c r="F29" i="1" s="1"/>
  <c r="I68" i="8"/>
  <c r="H80" i="8"/>
  <c r="G80" i="8"/>
  <c r="H73" i="8"/>
  <c r="I54" i="8"/>
  <c r="I50" i="8"/>
  <c r="I34" i="8"/>
  <c r="I30" i="8"/>
  <c r="I22" i="8"/>
  <c r="I6" i="8"/>
  <c r="I84" i="8"/>
  <c r="F81" i="8"/>
  <c r="H75" i="8"/>
  <c r="G67" i="8"/>
  <c r="I67" i="8"/>
  <c r="H67" i="8"/>
  <c r="F80" i="8"/>
  <c r="I80" i="8"/>
  <c r="G79" i="8"/>
  <c r="H74" i="8"/>
  <c r="F70" i="8"/>
  <c r="H70" i="8"/>
  <c r="I69" i="8" l="1"/>
  <c r="F74" i="8"/>
  <c r="F75" i="8"/>
  <c r="I14" i="8"/>
  <c r="I73" i="8"/>
  <c r="I71" i="8"/>
  <c r="H69" i="8"/>
  <c r="F64" i="8"/>
  <c r="I53" i="8"/>
  <c r="F44" i="8"/>
  <c r="I41" i="8"/>
  <c r="I39" i="8"/>
  <c r="I37" i="8"/>
  <c r="I21" i="8"/>
  <c r="I9" i="8"/>
  <c r="I5" i="8"/>
  <c r="B58" i="1"/>
  <c r="B61" i="1"/>
  <c r="I82" i="8"/>
  <c r="G72" i="8"/>
  <c r="H79" i="8"/>
  <c r="H68" i="8"/>
  <c r="I18" i="8"/>
  <c r="G82" i="8"/>
  <c r="I76" i="8"/>
  <c r="F69" i="8"/>
  <c r="I65" i="8"/>
  <c r="I56" i="8"/>
  <c r="F52" i="8"/>
  <c r="F49" i="8"/>
  <c r="F43" i="8"/>
  <c r="I24" i="8"/>
  <c r="I7" i="8"/>
  <c r="G83" i="8"/>
  <c r="H72" i="8"/>
  <c r="I79" i="8"/>
  <c r="H82" i="8"/>
  <c r="I72" i="8"/>
  <c r="F30" i="1"/>
  <c r="B28" i="1"/>
  <c r="E37" i="1" s="1"/>
  <c r="F37" i="1" s="1"/>
  <c r="B40" i="1" s="1"/>
  <c r="O36" i="1"/>
  <c r="O167" i="1"/>
  <c r="P152" i="1"/>
  <c r="P56" i="1"/>
  <c r="O165" i="1"/>
  <c r="P151" i="1"/>
  <c r="O168" i="1"/>
  <c r="O27" i="1"/>
  <c r="P174" i="1"/>
  <c r="P113" i="1"/>
  <c r="O159" i="1"/>
  <c r="P14" i="1"/>
  <c r="O105" i="1"/>
  <c r="O136" i="1"/>
  <c r="P39" i="1"/>
  <c r="P162" i="1"/>
  <c r="P100" i="1"/>
  <c r="P82" i="1"/>
  <c r="O180" i="1"/>
  <c r="P128" i="1"/>
  <c r="O189" i="1"/>
  <c r="O67" i="1"/>
  <c r="O19" i="1"/>
  <c r="O76" i="1"/>
  <c r="P183" i="1"/>
  <c r="O46" i="1"/>
  <c r="P90" i="1"/>
  <c r="P29" i="1"/>
  <c r="O16" i="1"/>
  <c r="P53" i="1"/>
  <c r="O70" i="1"/>
  <c r="P194" i="1"/>
  <c r="Q194" i="1" s="1"/>
  <c r="O32" i="1"/>
  <c r="P17" i="1"/>
  <c r="P18" i="1"/>
  <c r="P92" i="1"/>
  <c r="P170" i="1"/>
  <c r="O157" i="1"/>
  <c r="P22" i="1"/>
  <c r="P37" i="1"/>
  <c r="P154" i="1"/>
  <c r="P175" i="1"/>
  <c r="P177" i="1"/>
  <c r="P192" i="1"/>
  <c r="O96" i="1"/>
  <c r="P63" i="1"/>
  <c r="O129" i="1"/>
  <c r="O75" i="1"/>
  <c r="O35" i="1"/>
  <c r="O112" i="1"/>
  <c r="P180" i="1"/>
  <c r="P102" i="1"/>
  <c r="O143" i="1"/>
  <c r="O169" i="1"/>
  <c r="P69" i="1"/>
  <c r="P103" i="1"/>
  <c r="O174" i="1"/>
  <c r="O104" i="1"/>
  <c r="O93" i="1"/>
  <c r="O20" i="1"/>
  <c r="P74" i="1"/>
  <c r="P153" i="1"/>
  <c r="P169" i="1"/>
  <c r="F18" i="1"/>
  <c r="P16" i="1"/>
  <c r="P68" i="1"/>
  <c r="O121" i="1"/>
  <c r="P191" i="1"/>
  <c r="Q191" i="1" s="1"/>
  <c r="O94" i="1"/>
  <c r="P147" i="1"/>
  <c r="P143" i="1"/>
  <c r="P131" i="1"/>
  <c r="P123" i="1"/>
  <c r="P95" i="1"/>
  <c r="P67" i="1"/>
  <c r="P130" i="1"/>
  <c r="P33" i="1"/>
  <c r="P97" i="1"/>
  <c r="O139" i="1"/>
  <c r="O101" i="1"/>
  <c r="O176" i="1"/>
  <c r="P120" i="1"/>
  <c r="P85" i="1"/>
  <c r="O78" i="1"/>
  <c r="O50" i="1"/>
  <c r="P99" i="1"/>
  <c r="P15" i="1"/>
  <c r="O138" i="1"/>
  <c r="O38" i="1"/>
  <c r="O61" i="1"/>
  <c r="O131" i="1"/>
  <c r="P138" i="1"/>
  <c r="P141" i="1"/>
  <c r="P145" i="1"/>
  <c r="O59" i="1"/>
  <c r="P155" i="1"/>
  <c r="O24" i="1"/>
  <c r="O66" i="1"/>
  <c r="P91" i="1"/>
  <c r="P87" i="1"/>
  <c r="O79" i="1"/>
  <c r="O37" i="1"/>
  <c r="O126" i="1"/>
  <c r="O99" i="1"/>
  <c r="P24" i="1"/>
  <c r="P110" i="1"/>
  <c r="H81" i="8"/>
  <c r="P161" i="1"/>
  <c r="P129" i="1"/>
  <c r="P96" i="1"/>
  <c r="O187" i="1"/>
  <c r="O122" i="1"/>
  <c r="O62" i="1"/>
  <c r="P35" i="1"/>
  <c r="P57" i="1"/>
  <c r="O140" i="1"/>
  <c r="O65" i="1"/>
  <c r="O103" i="1"/>
  <c r="G84" i="8"/>
  <c r="I74" i="8"/>
  <c r="F84" i="8"/>
  <c r="G78" i="8"/>
  <c r="G76" i="8"/>
  <c r="F62" i="8"/>
  <c r="I83" i="8"/>
  <c r="I10" i="8"/>
  <c r="I26" i="8"/>
  <c r="I42" i="8"/>
  <c r="I58" i="8"/>
  <c r="I81" i="8"/>
  <c r="F78" i="8"/>
  <c r="F76" i="8"/>
  <c r="I70" i="8"/>
  <c r="F63" i="8"/>
  <c r="F51" i="8"/>
  <c r="I48" i="8"/>
  <c r="I45" i="8"/>
  <c r="F35" i="8"/>
  <c r="I32" i="8"/>
  <c r="I29" i="8"/>
  <c r="F19" i="8"/>
  <c r="I16" i="8"/>
  <c r="I13" i="8"/>
  <c r="F3" i="8"/>
  <c r="O39" i="1"/>
  <c r="O116" i="1"/>
  <c r="P108" i="1"/>
  <c r="P48" i="1"/>
  <c r="O52" i="1"/>
  <c r="O72" i="1"/>
  <c r="O125" i="1"/>
  <c r="O74" i="1"/>
  <c r="O163" i="1"/>
  <c r="O33" i="1"/>
  <c r="P93" i="1"/>
  <c r="I61" i="8"/>
  <c r="H83" i="8"/>
  <c r="P109" i="1"/>
  <c r="P84" i="1"/>
  <c r="P193" i="1"/>
  <c r="P43" i="1"/>
  <c r="O149" i="1"/>
  <c r="P62" i="1"/>
  <c r="O29" i="1"/>
  <c r="O68" i="1"/>
  <c r="O182" i="1"/>
  <c r="O193" i="1"/>
  <c r="O134" i="1"/>
  <c r="P64" i="1"/>
  <c r="P12" i="1"/>
  <c r="P86" i="1"/>
  <c r="P61" i="1"/>
  <c r="P19" i="1"/>
  <c r="P178" i="1"/>
  <c r="P114" i="1"/>
  <c r="P146" i="1"/>
  <c r="P78" i="1"/>
  <c r="P28" i="1"/>
  <c r="O41" i="1"/>
  <c r="O107" i="1"/>
  <c r="O171" i="1"/>
  <c r="O150" i="1"/>
  <c r="O114" i="1"/>
  <c r="O69" i="1"/>
  <c r="O133" i="1"/>
  <c r="O14" i="1"/>
  <c r="O80" i="1"/>
  <c r="O144" i="1"/>
  <c r="O82" i="1"/>
  <c r="P59" i="1"/>
  <c r="P164" i="1"/>
  <c r="P104" i="1"/>
  <c r="P136" i="1"/>
  <c r="P111" i="1"/>
  <c r="P13" i="1"/>
  <c r="P182" i="1"/>
  <c r="P118" i="1"/>
  <c r="P101" i="1"/>
  <c r="P32" i="1"/>
  <c r="O45" i="1"/>
  <c r="O111" i="1"/>
  <c r="O175" i="1"/>
  <c r="O158" i="1"/>
  <c r="O142" i="1"/>
  <c r="O73" i="1"/>
  <c r="O137" i="1"/>
  <c r="O18" i="1"/>
  <c r="O84" i="1"/>
  <c r="O148" i="1"/>
  <c r="O90" i="1"/>
  <c r="P172" i="1"/>
  <c r="P21" i="1"/>
  <c r="P156" i="1"/>
  <c r="P119" i="1"/>
  <c r="P79" i="1"/>
  <c r="P188" i="1"/>
  <c r="P42" i="1"/>
  <c r="P98" i="1"/>
  <c r="P184" i="1"/>
  <c r="P76" i="1"/>
  <c r="P41" i="1"/>
  <c r="Q41" i="1" s="1"/>
  <c r="O190" i="1"/>
  <c r="O154" i="1"/>
  <c r="O102" i="1"/>
  <c r="O184" i="1"/>
  <c r="O152" i="1"/>
  <c r="O120" i="1"/>
  <c r="O88" i="1"/>
  <c r="O56" i="1"/>
  <c r="O22" i="1"/>
  <c r="O173" i="1"/>
  <c r="O141" i="1"/>
  <c r="O109" i="1"/>
  <c r="O77" i="1"/>
  <c r="O43" i="1"/>
  <c r="O170" i="1"/>
  <c r="O40" i="1"/>
  <c r="O166" i="1"/>
  <c r="O86" i="1"/>
  <c r="O179" i="1"/>
  <c r="O147" i="1"/>
  <c r="O115" i="1"/>
  <c r="O83" i="1"/>
  <c r="O49" i="1"/>
  <c r="O17" i="1"/>
  <c r="P40" i="1"/>
  <c r="P50" i="1"/>
  <c r="P70" i="1"/>
  <c r="P142" i="1"/>
  <c r="P126" i="1"/>
  <c r="P190" i="1"/>
  <c r="P25" i="1"/>
  <c r="P115" i="1"/>
  <c r="P52" i="1"/>
  <c r="P112" i="1"/>
  <c r="P185" i="1"/>
  <c r="P125" i="1"/>
  <c r="P88" i="1"/>
  <c r="P181" i="1"/>
  <c r="Q180" i="1" s="1"/>
  <c r="P133" i="1"/>
  <c r="P157" i="1"/>
  <c r="P105" i="1"/>
  <c r="P149" i="1"/>
  <c r="P173" i="1"/>
  <c r="P121" i="1"/>
  <c r="P189" i="1"/>
  <c r="P77" i="1"/>
  <c r="P27" i="1"/>
  <c r="P176" i="1"/>
  <c r="P132" i="1"/>
  <c r="P58" i="1"/>
  <c r="Q57" i="1" s="1"/>
  <c r="P167" i="1"/>
  <c r="P83" i="1"/>
  <c r="O123" i="1"/>
  <c r="O186" i="1"/>
  <c r="O85" i="1"/>
  <c r="O30" i="1"/>
  <c r="O160" i="1"/>
  <c r="P81" i="1"/>
  <c r="P44" i="1"/>
  <c r="P34" i="1"/>
  <c r="P187" i="1"/>
  <c r="P47" i="1"/>
  <c r="P134" i="1"/>
  <c r="O95" i="1"/>
  <c r="O118" i="1"/>
  <c r="O57" i="1"/>
  <c r="O185" i="1"/>
  <c r="O132" i="1"/>
  <c r="P137" i="1"/>
  <c r="P165" i="1"/>
  <c r="P66" i="1"/>
  <c r="P179" i="1"/>
  <c r="P163" i="1"/>
  <c r="P38" i="1"/>
  <c r="Q38" i="1" s="1"/>
  <c r="P51" i="1"/>
  <c r="O146" i="1"/>
  <c r="O172" i="1"/>
  <c r="O108" i="1"/>
  <c r="O42" i="1"/>
  <c r="O161" i="1"/>
  <c r="O97" i="1"/>
  <c r="O31" i="1"/>
  <c r="O28" i="1"/>
  <c r="O58" i="1"/>
  <c r="O135" i="1"/>
  <c r="O71" i="1"/>
  <c r="P150" i="1"/>
  <c r="P89" i="1"/>
  <c r="O13" i="1"/>
  <c r="P106" i="1"/>
  <c r="B13" i="1"/>
  <c r="B15" i="1" s="1"/>
  <c r="P160" i="1"/>
  <c r="P116" i="1"/>
  <c r="P148" i="1"/>
  <c r="P80" i="1"/>
  <c r="P30" i="1"/>
  <c r="P107" i="1"/>
  <c r="P139" i="1"/>
  <c r="O25" i="1"/>
  <c r="O91" i="1"/>
  <c r="O155" i="1"/>
  <c r="O106" i="1"/>
  <c r="O48" i="1"/>
  <c r="O51" i="1"/>
  <c r="O117" i="1"/>
  <c r="O181" i="1"/>
  <c r="O64" i="1"/>
  <c r="O128" i="1"/>
  <c r="O192" i="1"/>
  <c r="P117" i="1"/>
  <c r="P31" i="1"/>
  <c r="P20" i="1"/>
  <c r="P171" i="1"/>
  <c r="P127" i="1"/>
  <c r="P71" i="1"/>
  <c r="P65" i="1"/>
  <c r="P166" i="1"/>
  <c r="P60" i="1"/>
  <c r="O63" i="1"/>
  <c r="O127" i="1"/>
  <c r="O191" i="1"/>
  <c r="O194" i="1"/>
  <c r="O23" i="1"/>
  <c r="O89" i="1"/>
  <c r="O153" i="1"/>
  <c r="O34" i="1"/>
  <c r="O100" i="1"/>
  <c r="O164" i="1"/>
  <c r="O130" i="1"/>
  <c r="P45" i="1"/>
  <c r="P168" i="1"/>
  <c r="P49" i="1"/>
  <c r="P140" i="1"/>
  <c r="P72" i="1"/>
  <c r="P124" i="1"/>
  <c r="P26" i="1"/>
  <c r="P158" i="1"/>
  <c r="P144" i="1"/>
  <c r="P135" i="1"/>
  <c r="P73" i="1"/>
  <c r="P159" i="1"/>
  <c r="P94" i="1"/>
  <c r="O162" i="1"/>
  <c r="O110" i="1"/>
  <c r="O188" i="1"/>
  <c r="O156" i="1"/>
  <c r="O124" i="1"/>
  <c r="O92" i="1"/>
  <c r="O60" i="1"/>
  <c r="O26" i="1"/>
  <c r="O177" i="1"/>
  <c r="O145" i="1"/>
  <c r="O113" i="1"/>
  <c r="O81" i="1"/>
  <c r="O47" i="1"/>
  <c r="O15" i="1"/>
  <c r="O44" i="1"/>
  <c r="O178" i="1"/>
  <c r="O98" i="1"/>
  <c r="O183" i="1"/>
  <c r="O151" i="1"/>
  <c r="O119" i="1"/>
  <c r="O87" i="1"/>
  <c r="O53" i="1"/>
  <c r="O21" i="1"/>
  <c r="P36" i="1"/>
  <c r="P46" i="1"/>
  <c r="P122" i="1"/>
  <c r="P186" i="1"/>
  <c r="P75" i="1"/>
  <c r="P23" i="1"/>
  <c r="Q14" i="1" l="1"/>
  <c r="B65" i="1"/>
  <c r="Q168" i="1"/>
  <c r="Q177" i="1"/>
  <c r="Q151" i="1"/>
  <c r="Q143" i="1"/>
  <c r="Q89" i="1"/>
  <c r="Q179" i="1"/>
  <c r="Q66" i="1"/>
  <c r="Q69" i="1"/>
  <c r="Q21" i="1"/>
  <c r="Q67" i="1"/>
  <c r="Q150" i="1"/>
  <c r="Q145" i="1"/>
  <c r="Q193" i="1"/>
  <c r="Q128" i="1"/>
  <c r="Q142" i="1"/>
  <c r="Q18" i="1"/>
  <c r="Q152" i="1"/>
  <c r="Q81" i="1"/>
  <c r="Q112" i="1"/>
  <c r="Q113" i="1"/>
  <c r="Q62" i="1"/>
  <c r="Q16" i="1"/>
  <c r="Q52" i="1"/>
  <c r="Q53" i="1"/>
  <c r="Q82" i="1"/>
  <c r="Q175" i="1"/>
  <c r="Q120" i="1"/>
  <c r="Q63" i="1"/>
  <c r="Q96" i="1"/>
  <c r="Q31" i="1"/>
  <c r="Q36" i="1"/>
  <c r="Q32" i="1"/>
  <c r="Q13" i="1"/>
  <c r="Q92" i="1"/>
  <c r="Q161" i="1"/>
  <c r="Q91" i="1"/>
  <c r="Q117" i="1"/>
  <c r="Q146" i="1"/>
  <c r="Q110" i="1"/>
  <c r="Q28" i="1"/>
  <c r="Q109" i="1"/>
  <c r="Q56" i="1"/>
  <c r="Q47" i="1"/>
  <c r="Q85" i="1"/>
  <c r="Q84" i="1"/>
  <c r="Q90" i="1"/>
  <c r="Q153" i="1"/>
  <c r="Q99" i="1"/>
  <c r="Q98" i="1"/>
  <c r="Q119" i="1"/>
  <c r="Q148" i="1"/>
  <c r="Q163" i="1"/>
  <c r="Q189" i="1"/>
  <c r="Q140" i="1"/>
  <c r="Q33" i="1"/>
  <c r="Q154" i="1"/>
  <c r="Q15" i="1"/>
  <c r="Q169" i="1"/>
  <c r="Q46" i="1"/>
  <c r="Q73" i="1"/>
  <c r="Q173" i="1"/>
  <c r="Q182" i="1"/>
  <c r="Q174" i="1"/>
  <c r="Q17" i="1"/>
  <c r="Q86" i="1"/>
  <c r="Q155" i="1"/>
  <c r="Q129" i="1"/>
  <c r="Q103" i="1"/>
  <c r="Q102" i="1"/>
  <c r="Q192" i="1"/>
  <c r="Q75" i="1"/>
  <c r="Q181" i="1"/>
  <c r="Q190" i="1"/>
  <c r="Q68" i="1"/>
  <c r="Q95" i="1"/>
  <c r="Q137" i="1"/>
  <c r="Q187" i="1"/>
  <c r="Q131" i="1"/>
  <c r="Q104" i="1"/>
  <c r="Q101" i="1"/>
  <c r="Q42" i="1"/>
  <c r="Q130" i="1"/>
  <c r="Q133" i="1"/>
  <c r="Q43" i="1"/>
  <c r="Q44" i="1"/>
  <c r="Q24" i="1"/>
  <c r="Q61" i="1"/>
  <c r="Q77" i="1"/>
  <c r="Q34" i="1"/>
  <c r="Q124" i="1"/>
  <c r="Q141" i="1"/>
  <c r="Q40" i="1"/>
  <c r="Q51" i="1"/>
  <c r="Q132" i="1"/>
  <c r="Q162" i="1"/>
  <c r="Q125" i="1"/>
  <c r="Q59" i="1"/>
  <c r="Q27" i="1"/>
  <c r="Q105" i="1"/>
  <c r="Q58" i="1"/>
  <c r="Q108" i="1"/>
  <c r="Q149" i="1"/>
  <c r="Q50" i="1"/>
  <c r="Q184" i="1"/>
  <c r="Q156" i="1"/>
  <c r="Q172" i="1"/>
  <c r="Q118" i="1"/>
  <c r="Q136" i="1"/>
  <c r="Q164" i="1"/>
  <c r="Q78" i="1"/>
  <c r="Q114" i="1"/>
  <c r="Q37" i="1"/>
  <c r="Q83" i="1"/>
  <c r="Q100" i="1"/>
  <c r="Q97" i="1"/>
  <c r="Q183" i="1"/>
  <c r="Q88" i="1"/>
  <c r="Q76" i="1"/>
  <c r="Q188" i="1"/>
  <c r="Q111" i="1"/>
  <c r="Q178" i="1"/>
  <c r="Q12" i="1"/>
  <c r="Q176" i="1"/>
  <c r="Q87" i="1"/>
  <c r="Q39" i="1"/>
  <c r="Q139" i="1"/>
  <c r="Q30" i="1"/>
  <c r="Q123" i="1"/>
  <c r="Q23" i="1"/>
  <c r="Q22" i="1"/>
  <c r="Q186" i="1"/>
  <c r="Q185" i="1"/>
  <c r="Q94" i="1"/>
  <c r="Q93" i="1"/>
  <c r="Q49" i="1"/>
  <c r="Q48" i="1"/>
  <c r="Q127" i="1"/>
  <c r="Q126" i="1"/>
  <c r="Q122" i="1"/>
  <c r="Q121" i="1"/>
  <c r="Q135" i="1"/>
  <c r="Q134" i="1"/>
  <c r="Q158" i="1"/>
  <c r="Q157" i="1"/>
  <c r="Q165" i="1"/>
  <c r="Q166" i="1"/>
  <c r="Q70" i="1"/>
  <c r="Q71" i="1"/>
  <c r="Q171" i="1"/>
  <c r="Q170" i="1"/>
  <c r="Q106" i="1"/>
  <c r="Q107" i="1"/>
  <c r="Q80" i="1"/>
  <c r="Q79" i="1"/>
  <c r="Q115" i="1"/>
  <c r="Q116" i="1"/>
  <c r="Q72" i="1"/>
  <c r="Q147" i="1"/>
  <c r="Q35" i="1"/>
  <c r="Q144" i="1"/>
  <c r="Q167" i="1"/>
  <c r="Q29" i="1"/>
  <c r="Q26" i="1"/>
  <c r="Q25" i="1"/>
  <c r="Q65" i="1"/>
  <c r="Q64" i="1"/>
  <c r="Q20" i="1"/>
  <c r="Q19" i="1"/>
  <c r="Q159" i="1"/>
  <c r="Q160" i="1"/>
  <c r="Q45" i="1"/>
  <c r="Q60" i="1"/>
  <c r="Q74" i="1"/>
  <c r="Q138" i="1"/>
  <c r="R11" i="1" l="1"/>
  <c r="B29" i="1" s="1"/>
  <c r="T29" i="1" l="1"/>
  <c r="T30" i="1"/>
  <c r="X30" i="1" s="1"/>
  <c r="T12" i="1"/>
  <c r="T96" i="1"/>
  <c r="U96" i="1" s="1"/>
  <c r="S11" i="1"/>
  <c r="B19" i="1" s="1"/>
  <c r="I15" i="1" s="1"/>
  <c r="B24" i="1" s="1"/>
  <c r="T90" i="1"/>
  <c r="U90" i="1" s="1"/>
  <c r="T190" i="1"/>
  <c r="U190" i="1" s="1"/>
  <c r="T69" i="1"/>
  <c r="T61" i="1"/>
  <c r="U61" i="1" s="1"/>
  <c r="T49" i="1"/>
  <c r="X49" i="1" s="1"/>
  <c r="T125" i="1"/>
  <c r="U125" i="1" s="1"/>
  <c r="T51" i="1"/>
  <c r="U51" i="1" s="1"/>
  <c r="T120" i="1"/>
  <c r="X120" i="1" s="1"/>
  <c r="T71" i="1"/>
  <c r="U71" i="1" s="1"/>
  <c r="T79" i="1"/>
  <c r="U79" i="1" s="1"/>
  <c r="T172" i="1"/>
  <c r="U172" i="1" s="1"/>
  <c r="T86" i="1"/>
  <c r="U86" i="1" s="1"/>
  <c r="T47" i="1"/>
  <c r="X47" i="1" s="1"/>
  <c r="T63" i="1"/>
  <c r="X63" i="1" s="1"/>
  <c r="T20" i="1"/>
  <c r="X20" i="1" s="1"/>
  <c r="T118" i="1"/>
  <c r="X118" i="1" s="1"/>
  <c r="T74" i="1"/>
  <c r="U74" i="1" s="1"/>
  <c r="T170" i="1"/>
  <c r="U170" i="1" s="1"/>
  <c r="T72" i="1"/>
  <c r="U72" i="1" s="1"/>
  <c r="T135" i="1"/>
  <c r="T78" i="1"/>
  <c r="X78" i="1" s="1"/>
  <c r="T35" i="1"/>
  <c r="U35" i="1" s="1"/>
  <c r="T152" i="1"/>
  <c r="X152" i="1" s="1"/>
  <c r="T148" i="1"/>
  <c r="U148" i="1" s="1"/>
  <c r="T110" i="1"/>
  <c r="X110" i="1" s="1"/>
  <c r="T147" i="1"/>
  <c r="U147" i="1" s="1"/>
  <c r="T123" i="1"/>
  <c r="U123" i="1" s="1"/>
  <c r="T161" i="1"/>
  <c r="X161" i="1" s="1"/>
  <c r="T150" i="1"/>
  <c r="U150" i="1" s="1"/>
  <c r="T25" i="1"/>
  <c r="X25" i="1" s="1"/>
  <c r="T111" i="1"/>
  <c r="X111" i="1" s="1"/>
  <c r="T162" i="1"/>
  <c r="X162" i="1" s="1"/>
  <c r="T144" i="1"/>
  <c r="X144" i="1" s="1"/>
  <c r="T93" i="1"/>
  <c r="X93" i="1" s="1"/>
  <c r="T99" i="1"/>
  <c r="T121" i="1"/>
  <c r="T95" i="1"/>
  <c r="T189" i="1"/>
  <c r="T185" i="1"/>
  <c r="T188" i="1"/>
  <c r="T42" i="1"/>
  <c r="T39" i="1"/>
  <c r="X39" i="1" s="1"/>
  <c r="T173" i="1"/>
  <c r="U173" i="1" s="1"/>
  <c r="T128" i="1"/>
  <c r="X128" i="1" s="1"/>
  <c r="T18" i="1"/>
  <c r="U18" i="1" s="1"/>
  <c r="T94" i="1"/>
  <c r="X94" i="1" s="1"/>
  <c r="T149" i="1"/>
  <c r="X149" i="1" s="1"/>
  <c r="T65" i="1"/>
  <c r="X65" i="1" s="1"/>
  <c r="T186" i="1"/>
  <c r="X186" i="1" s="1"/>
  <c r="T130" i="1"/>
  <c r="T28" i="1"/>
  <c r="T143" i="1"/>
  <c r="T163" i="1"/>
  <c r="T91" i="1"/>
  <c r="T50" i="1"/>
  <c r="U50" i="1" s="1"/>
  <c r="T137" i="1"/>
  <c r="U137" i="1" s="1"/>
  <c r="T115" i="1"/>
  <c r="T182" i="1"/>
  <c r="U182" i="1" s="1"/>
  <c r="T45" i="1"/>
  <c r="T22" i="1"/>
  <c r="U22" i="1" s="1"/>
  <c r="T66" i="1"/>
  <c r="T192" i="1"/>
  <c r="U192" i="1" s="1"/>
  <c r="T32" i="1"/>
  <c r="T98" i="1"/>
  <c r="T59" i="1"/>
  <c r="T48" i="1"/>
  <c r="U48" i="1" s="1"/>
  <c r="T23" i="1"/>
  <c r="U23" i="1" s="1"/>
  <c r="T100" i="1"/>
  <c r="T38" i="1"/>
  <c r="U38" i="1" s="1"/>
  <c r="T33" i="1"/>
  <c r="U33" i="1" s="1"/>
  <c r="T14" i="1"/>
  <c r="T70" i="1"/>
  <c r="U70" i="1" s="1"/>
  <c r="T92" i="1"/>
  <c r="U92" i="1" s="1"/>
  <c r="T139" i="1"/>
  <c r="T164" i="1"/>
  <c r="U164" i="1" s="1"/>
  <c r="T21" i="1"/>
  <c r="T13" i="1"/>
  <c r="U13" i="1" s="1"/>
  <c r="T87" i="1"/>
  <c r="T104" i="1"/>
  <c r="U104" i="1" s="1"/>
  <c r="T64" i="1"/>
  <c r="X64" i="1" s="1"/>
  <c r="T109" i="1"/>
  <c r="T89" i="1"/>
  <c r="T174" i="1"/>
  <c r="T178" i="1"/>
  <c r="T181" i="1"/>
  <c r="T27" i="1"/>
  <c r="T52" i="1"/>
  <c r="T140" i="1"/>
  <c r="T176" i="1"/>
  <c r="X176" i="1" s="1"/>
  <c r="T116" i="1"/>
  <c r="U116" i="1" s="1"/>
  <c r="T132" i="1"/>
  <c r="X132" i="1" s="1"/>
  <c r="T83" i="1"/>
  <c r="T46" i="1"/>
  <c r="X46" i="1" s="1"/>
  <c r="T126" i="1"/>
  <c r="T138" i="1"/>
  <c r="U138" i="1" s="1"/>
  <c r="T108" i="1"/>
  <c r="T113" i="1"/>
  <c r="T53" i="1"/>
  <c r="T179" i="1"/>
  <c r="T107" i="1"/>
  <c r="T34" i="1"/>
  <c r="T134" i="1"/>
  <c r="T156" i="1"/>
  <c r="T184" i="1"/>
  <c r="T131" i="1"/>
  <c r="T101" i="1"/>
  <c r="T114" i="1"/>
  <c r="T44" i="1"/>
  <c r="T154" i="1"/>
  <c r="X154" i="1" s="1"/>
  <c r="T26" i="1"/>
  <c r="U26" i="1" s="1"/>
  <c r="T127" i="1"/>
  <c r="X127" i="1" s="1"/>
  <c r="T60" i="1"/>
  <c r="X60" i="1" s="1"/>
  <c r="T193" i="1"/>
  <c r="U193" i="1" s="1"/>
  <c r="T17" i="1"/>
  <c r="T119" i="1"/>
  <c r="T85" i="1"/>
  <c r="X85" i="1" s="1"/>
  <c r="T183" i="1"/>
  <c r="U183" i="1" s="1"/>
  <c r="T88" i="1"/>
  <c r="T75" i="1"/>
  <c r="T103" i="1"/>
  <c r="U103" i="1" s="1"/>
  <c r="T102" i="1"/>
  <c r="X102" i="1" s="1"/>
  <c r="T56" i="1"/>
  <c r="T31" i="1"/>
  <c r="T191" i="1"/>
  <c r="T84" i="1"/>
  <c r="T159" i="1"/>
  <c r="T67" i="1"/>
  <c r="T36" i="1"/>
  <c r="T105" i="1"/>
  <c r="T37" i="1"/>
  <c r="T62" i="1"/>
  <c r="T168" i="1"/>
  <c r="T155" i="1"/>
  <c r="T177" i="1"/>
  <c r="T166" i="1"/>
  <c r="T112" i="1"/>
  <c r="T40" i="1"/>
  <c r="T157" i="1"/>
  <c r="T145" i="1"/>
  <c r="T68" i="1"/>
  <c r="T129" i="1"/>
  <c r="T133" i="1"/>
  <c r="T158" i="1"/>
  <c r="T81" i="1"/>
  <c r="T136" i="1"/>
  <c r="T122" i="1"/>
  <c r="T80" i="1"/>
  <c r="T16" i="1"/>
  <c r="T180" i="1"/>
  <c r="T15" i="1"/>
  <c r="T165" i="1"/>
  <c r="T141" i="1"/>
  <c r="T175" i="1"/>
  <c r="T167" i="1"/>
  <c r="T76" i="1"/>
  <c r="T41" i="1"/>
  <c r="T24" i="1"/>
  <c r="T194" i="1"/>
  <c r="T82" i="1"/>
  <c r="T171" i="1"/>
  <c r="T73" i="1"/>
  <c r="T187" i="1"/>
  <c r="T142" i="1"/>
  <c r="T19" i="1"/>
  <c r="T43" i="1"/>
  <c r="T124" i="1"/>
  <c r="U161" i="1"/>
  <c r="T77" i="1"/>
  <c r="T117" i="1"/>
  <c r="T106" i="1"/>
  <c r="T160" i="1"/>
  <c r="T153" i="1"/>
  <c r="T97" i="1"/>
  <c r="T146" i="1"/>
  <c r="T151" i="1"/>
  <c r="T169" i="1"/>
  <c r="T57" i="1"/>
  <c r="T58" i="1"/>
  <c r="U30" i="1" l="1"/>
  <c r="X116" i="1"/>
  <c r="X61" i="1"/>
  <c r="Y60" i="1" s="1"/>
  <c r="U94" i="1"/>
  <c r="V182" i="1"/>
  <c r="X71" i="1"/>
  <c r="X38" i="1"/>
  <c r="Y38" i="1" s="1"/>
  <c r="V70" i="1"/>
  <c r="U93" i="1"/>
  <c r="V92" i="1" s="1"/>
  <c r="U46" i="1"/>
  <c r="Y127" i="1"/>
  <c r="X96" i="1"/>
  <c r="U111" i="1"/>
  <c r="U152" i="1"/>
  <c r="V147" i="1"/>
  <c r="V50" i="1"/>
  <c r="X90" i="1"/>
  <c r="U63" i="1"/>
  <c r="X35" i="1"/>
  <c r="U144" i="1"/>
  <c r="U60" i="1"/>
  <c r="V60" i="1" s="1"/>
  <c r="B26" i="1"/>
  <c r="X51" i="1"/>
  <c r="X170" i="1"/>
  <c r="Y46" i="1"/>
  <c r="U85" i="1"/>
  <c r="V85" i="1" s="1"/>
  <c r="U186" i="1"/>
  <c r="X92" i="1"/>
  <c r="Y92" i="1" s="1"/>
  <c r="X18" i="1"/>
  <c r="X147" i="1"/>
  <c r="X103" i="1"/>
  <c r="Y102" i="1" s="1"/>
  <c r="X79" i="1"/>
  <c r="Y78" i="1" s="1"/>
  <c r="X70" i="1"/>
  <c r="X190" i="1"/>
  <c r="X150" i="1"/>
  <c r="Y149" i="1" s="1"/>
  <c r="U102" i="1"/>
  <c r="V102" i="1" s="1"/>
  <c r="Y110" i="1"/>
  <c r="Y93" i="1"/>
  <c r="U25" i="1"/>
  <c r="V25" i="1" s="1"/>
  <c r="X172" i="1"/>
  <c r="U39" i="1"/>
  <c r="V38" i="1" s="1"/>
  <c r="U69" i="1"/>
  <c r="V69" i="1" s="1"/>
  <c r="X69" i="1"/>
  <c r="X123" i="1"/>
  <c r="U120" i="1"/>
  <c r="X182" i="1"/>
  <c r="X72" i="1"/>
  <c r="X13" i="1"/>
  <c r="U20" i="1"/>
  <c r="V172" i="1"/>
  <c r="Y161" i="1"/>
  <c r="V71" i="1"/>
  <c r="Y64" i="1"/>
  <c r="U110" i="1"/>
  <c r="X125" i="1"/>
  <c r="U162" i="1"/>
  <c r="V161" i="1" s="1"/>
  <c r="X50" i="1"/>
  <c r="Y49" i="1" s="1"/>
  <c r="X86" i="1"/>
  <c r="Y85" i="1" s="1"/>
  <c r="U118" i="1"/>
  <c r="U128" i="1"/>
  <c r="X189" i="1"/>
  <c r="U189" i="1"/>
  <c r="V189" i="1" s="1"/>
  <c r="X185" i="1"/>
  <c r="Y185" i="1" s="1"/>
  <c r="U185" i="1"/>
  <c r="U64" i="1"/>
  <c r="U78" i="1"/>
  <c r="V78" i="1" s="1"/>
  <c r="U49" i="1"/>
  <c r="V48" i="1" s="1"/>
  <c r="X148" i="1"/>
  <c r="Y148" i="1" s="1"/>
  <c r="U149" i="1"/>
  <c r="V149" i="1" s="1"/>
  <c r="U47" i="1"/>
  <c r="X74" i="1"/>
  <c r="X173" i="1"/>
  <c r="X42" i="1"/>
  <c r="U42" i="1"/>
  <c r="X95" i="1"/>
  <c r="Y94" i="1" s="1"/>
  <c r="U95" i="1"/>
  <c r="X188" i="1"/>
  <c r="Y188" i="1" s="1"/>
  <c r="U188" i="1"/>
  <c r="V188" i="1" s="1"/>
  <c r="U121" i="1"/>
  <c r="X121" i="1"/>
  <c r="Y120" i="1" s="1"/>
  <c r="X99" i="1"/>
  <c r="U99" i="1"/>
  <c r="U135" i="1"/>
  <c r="X135" i="1"/>
  <c r="X143" i="1"/>
  <c r="Y143" i="1" s="1"/>
  <c r="U143" i="1"/>
  <c r="Y63" i="1"/>
  <c r="U154" i="1"/>
  <c r="U65" i="1"/>
  <c r="V192" i="1"/>
  <c r="X28" i="1"/>
  <c r="U28" i="1"/>
  <c r="U132" i="1"/>
  <c r="U91" i="1"/>
  <c r="X91" i="1"/>
  <c r="X130" i="1"/>
  <c r="U130" i="1"/>
  <c r="X193" i="1"/>
  <c r="X183" i="1"/>
  <c r="V137" i="1"/>
  <c r="X137" i="1"/>
  <c r="X163" i="1"/>
  <c r="Y162" i="1" s="1"/>
  <c r="U163" i="1"/>
  <c r="V163" i="1" s="1"/>
  <c r="X22" i="1"/>
  <c r="U45" i="1"/>
  <c r="X45" i="1"/>
  <c r="Y45" i="1" s="1"/>
  <c r="U176" i="1"/>
  <c r="X192" i="1"/>
  <c r="X48" i="1"/>
  <c r="Y48" i="1" s="1"/>
  <c r="X33" i="1"/>
  <c r="V103" i="1"/>
  <c r="V22" i="1"/>
  <c r="U66" i="1"/>
  <c r="X66" i="1"/>
  <c r="Y65" i="1" s="1"/>
  <c r="X115" i="1"/>
  <c r="U115" i="1"/>
  <c r="V115" i="1" s="1"/>
  <c r="X104" i="1"/>
  <c r="U127" i="1"/>
  <c r="X139" i="1"/>
  <c r="U139" i="1"/>
  <c r="V138" i="1" s="1"/>
  <c r="X14" i="1"/>
  <c r="U14" i="1"/>
  <c r="V13" i="1" s="1"/>
  <c r="X32" i="1"/>
  <c r="U32" i="1"/>
  <c r="V32" i="1" s="1"/>
  <c r="X23" i="1"/>
  <c r="X164" i="1"/>
  <c r="Y163" i="1" s="1"/>
  <c r="X59" i="1"/>
  <c r="Y59" i="1" s="1"/>
  <c r="U59" i="1"/>
  <c r="X138" i="1"/>
  <c r="X100" i="1"/>
  <c r="U100" i="1"/>
  <c r="X98" i="1"/>
  <c r="U98" i="1"/>
  <c r="X87" i="1"/>
  <c r="U87" i="1"/>
  <c r="V86" i="1" s="1"/>
  <c r="F27" i="1"/>
  <c r="U181" i="1"/>
  <c r="V181" i="1" s="1"/>
  <c r="X181" i="1"/>
  <c r="Y181" i="1" s="1"/>
  <c r="U109" i="1"/>
  <c r="X109" i="1"/>
  <c r="Y109" i="1" s="1"/>
  <c r="U89" i="1"/>
  <c r="V89" i="1" s="1"/>
  <c r="X89" i="1"/>
  <c r="X26" i="1"/>
  <c r="Y25" i="1" s="1"/>
  <c r="X140" i="1"/>
  <c r="U140" i="1"/>
  <c r="U178" i="1"/>
  <c r="X178" i="1"/>
  <c r="X21" i="1"/>
  <c r="U21" i="1"/>
  <c r="V21" i="1" s="1"/>
  <c r="U27" i="1"/>
  <c r="X27" i="1"/>
  <c r="U52" i="1"/>
  <c r="V51" i="1" s="1"/>
  <c r="X52" i="1"/>
  <c r="X174" i="1"/>
  <c r="U174" i="1"/>
  <c r="V173" i="1" s="1"/>
  <c r="X131" i="1"/>
  <c r="U131" i="1"/>
  <c r="U34" i="1"/>
  <c r="X34" i="1"/>
  <c r="X44" i="1"/>
  <c r="U44" i="1"/>
  <c r="U184" i="1"/>
  <c r="X184" i="1"/>
  <c r="X107" i="1"/>
  <c r="U107" i="1"/>
  <c r="U113" i="1"/>
  <c r="X113" i="1"/>
  <c r="U126" i="1"/>
  <c r="V125" i="1" s="1"/>
  <c r="X126" i="1"/>
  <c r="Y126" i="1" s="1"/>
  <c r="U75" i="1"/>
  <c r="V74" i="1" s="1"/>
  <c r="X75" i="1"/>
  <c r="X119" i="1"/>
  <c r="U119" i="1"/>
  <c r="X114" i="1"/>
  <c r="U114" i="1"/>
  <c r="X156" i="1"/>
  <c r="U156" i="1"/>
  <c r="X179" i="1"/>
  <c r="U179" i="1"/>
  <c r="U108" i="1"/>
  <c r="X108" i="1"/>
  <c r="U88" i="1"/>
  <c r="X88" i="1"/>
  <c r="U17" i="1"/>
  <c r="V17" i="1" s="1"/>
  <c r="X17" i="1"/>
  <c r="U101" i="1"/>
  <c r="X101" i="1"/>
  <c r="U134" i="1"/>
  <c r="X134" i="1"/>
  <c r="U53" i="1"/>
  <c r="X53" i="1"/>
  <c r="U12" i="1"/>
  <c r="V12" i="1" s="1"/>
  <c r="X12" i="1"/>
  <c r="X83" i="1"/>
  <c r="U83" i="1"/>
  <c r="U159" i="1"/>
  <c r="X159" i="1"/>
  <c r="U191" i="1"/>
  <c r="X191" i="1"/>
  <c r="X56" i="1"/>
  <c r="U56" i="1"/>
  <c r="U67" i="1"/>
  <c r="X67" i="1"/>
  <c r="U84" i="1"/>
  <c r="X84" i="1"/>
  <c r="X31" i="1"/>
  <c r="U31" i="1"/>
  <c r="U112" i="1"/>
  <c r="X112" i="1"/>
  <c r="U177" i="1"/>
  <c r="X177" i="1"/>
  <c r="X168" i="1"/>
  <c r="U168" i="1"/>
  <c r="X37" i="1"/>
  <c r="U37" i="1"/>
  <c r="V37" i="1" s="1"/>
  <c r="U36" i="1"/>
  <c r="X36" i="1"/>
  <c r="X40" i="1"/>
  <c r="Y39" i="1" s="1"/>
  <c r="U40" i="1"/>
  <c r="X166" i="1"/>
  <c r="U166" i="1"/>
  <c r="X155" i="1"/>
  <c r="U155" i="1"/>
  <c r="X62" i="1"/>
  <c r="Y62" i="1" s="1"/>
  <c r="U62" i="1"/>
  <c r="X105" i="1"/>
  <c r="U105" i="1"/>
  <c r="V104" i="1" s="1"/>
  <c r="X122" i="1"/>
  <c r="U122" i="1"/>
  <c r="U81" i="1"/>
  <c r="X81" i="1"/>
  <c r="U133" i="1"/>
  <c r="X133" i="1"/>
  <c r="U68" i="1"/>
  <c r="X68" i="1"/>
  <c r="U157" i="1"/>
  <c r="X157" i="1"/>
  <c r="U80" i="1"/>
  <c r="X80" i="1"/>
  <c r="X136" i="1"/>
  <c r="U136" i="1"/>
  <c r="U158" i="1"/>
  <c r="X158" i="1"/>
  <c r="X129" i="1"/>
  <c r="U129" i="1"/>
  <c r="U145" i="1"/>
  <c r="X145" i="1"/>
  <c r="Y144" i="1" s="1"/>
  <c r="X175" i="1"/>
  <c r="U175" i="1"/>
  <c r="U165" i="1"/>
  <c r="X165" i="1"/>
  <c r="X180" i="1"/>
  <c r="U180" i="1"/>
  <c r="X167" i="1"/>
  <c r="U167" i="1"/>
  <c r="X141" i="1"/>
  <c r="U141" i="1"/>
  <c r="U15" i="1"/>
  <c r="X15" i="1"/>
  <c r="U16" i="1"/>
  <c r="X16" i="1"/>
  <c r="X124" i="1"/>
  <c r="U124" i="1"/>
  <c r="X19" i="1"/>
  <c r="U19" i="1"/>
  <c r="X142" i="1"/>
  <c r="U142" i="1"/>
  <c r="U73" i="1"/>
  <c r="X73" i="1"/>
  <c r="X82" i="1"/>
  <c r="U82" i="1"/>
  <c r="X24" i="1"/>
  <c r="Y24" i="1" s="1"/>
  <c r="U24" i="1"/>
  <c r="X76" i="1"/>
  <c r="U76" i="1"/>
  <c r="X43" i="1"/>
  <c r="U43" i="1"/>
  <c r="X29" i="1"/>
  <c r="U29" i="1"/>
  <c r="U187" i="1"/>
  <c r="X187" i="1"/>
  <c r="U171" i="1"/>
  <c r="X171" i="1"/>
  <c r="U194" i="1"/>
  <c r="X194" i="1"/>
  <c r="Y194" i="1" s="1"/>
  <c r="U41" i="1"/>
  <c r="X41" i="1"/>
  <c r="X58" i="1"/>
  <c r="U58" i="1"/>
  <c r="U57" i="1"/>
  <c r="X57" i="1"/>
  <c r="X169" i="1"/>
  <c r="U169" i="1"/>
  <c r="X146" i="1"/>
  <c r="U146" i="1"/>
  <c r="U153" i="1"/>
  <c r="X153" i="1"/>
  <c r="X106" i="1"/>
  <c r="U106" i="1"/>
  <c r="X77" i="1"/>
  <c r="U77" i="1"/>
  <c r="U151" i="1"/>
  <c r="X151" i="1"/>
  <c r="U97" i="1"/>
  <c r="X97" i="1"/>
  <c r="X160" i="1"/>
  <c r="U160" i="1"/>
  <c r="U117" i="1"/>
  <c r="X117" i="1"/>
  <c r="Y115" i="1" l="1"/>
  <c r="Y37" i="1"/>
  <c r="V144" i="1"/>
  <c r="Y189" i="1"/>
  <c r="V143" i="1"/>
  <c r="V94" i="1"/>
  <c r="Y70" i="1"/>
  <c r="Y90" i="1"/>
  <c r="V58" i="1"/>
  <c r="V39" i="1"/>
  <c r="Y71" i="1"/>
  <c r="V46" i="1"/>
  <c r="V45" i="1"/>
  <c r="V63" i="1"/>
  <c r="V93" i="1"/>
  <c r="Y66" i="1"/>
  <c r="V99" i="1"/>
  <c r="Y124" i="1"/>
  <c r="Y89" i="1"/>
  <c r="V59" i="1"/>
  <c r="Y172" i="1"/>
  <c r="V114" i="1"/>
  <c r="V31" i="1"/>
  <c r="Y12" i="1"/>
  <c r="Y17" i="1"/>
  <c r="V110" i="1"/>
  <c r="Y34" i="1"/>
  <c r="V185" i="1"/>
  <c r="Y35" i="1"/>
  <c r="V130" i="1"/>
  <c r="Y51" i="1"/>
  <c r="V139" i="1"/>
  <c r="Y147" i="1"/>
  <c r="Y121" i="1"/>
  <c r="V134" i="1"/>
  <c r="Y13" i="1"/>
  <c r="Y69" i="1"/>
  <c r="Y173" i="1"/>
  <c r="V120" i="1"/>
  <c r="Y86" i="1"/>
  <c r="Y99" i="1"/>
  <c r="Y182" i="1"/>
  <c r="Y22" i="1"/>
  <c r="Y103" i="1"/>
  <c r="V65" i="1"/>
  <c r="Y140" i="1"/>
  <c r="Y104" i="1"/>
  <c r="Y32" i="1"/>
  <c r="Y50" i="1"/>
  <c r="Y192" i="1"/>
  <c r="V175" i="1"/>
  <c r="V178" i="1"/>
  <c r="Y74" i="1"/>
  <c r="V127" i="1"/>
  <c r="Y95" i="1"/>
  <c r="V95" i="1"/>
  <c r="V177" i="1"/>
  <c r="V98" i="1"/>
  <c r="V49" i="1"/>
  <c r="V109" i="1"/>
  <c r="Y91" i="1"/>
  <c r="Y138" i="1"/>
  <c r="V28" i="1"/>
  <c r="V75" i="1"/>
  <c r="Y134" i="1"/>
  <c r="Y27" i="1"/>
  <c r="Y98" i="1"/>
  <c r="V64" i="1"/>
  <c r="V162" i="1"/>
  <c r="Y75" i="1"/>
  <c r="V112" i="1"/>
  <c r="Y44" i="1"/>
  <c r="V27" i="1"/>
  <c r="V47" i="1"/>
  <c r="V148" i="1"/>
  <c r="V91" i="1"/>
  <c r="V90" i="1"/>
  <c r="V108" i="1"/>
  <c r="V155" i="1"/>
  <c r="Y191" i="1"/>
  <c r="Y125" i="1"/>
  <c r="Y114" i="1"/>
  <c r="V97" i="1"/>
  <c r="Y137" i="1"/>
  <c r="Y58" i="1"/>
  <c r="V16" i="1"/>
  <c r="V66" i="1"/>
  <c r="V52" i="1"/>
  <c r="Y178" i="1"/>
  <c r="Y47" i="1"/>
  <c r="V44" i="1"/>
  <c r="Y139" i="1"/>
  <c r="Y123" i="1"/>
  <c r="V174" i="1"/>
  <c r="Y97" i="1"/>
  <c r="Y190" i="1"/>
  <c r="Y53" i="1"/>
  <c r="V126" i="1"/>
  <c r="Y158" i="1"/>
  <c r="V133" i="1"/>
  <c r="V111" i="1"/>
  <c r="Y33" i="1"/>
  <c r="Y23" i="1"/>
  <c r="Y16" i="1"/>
  <c r="V140" i="1"/>
  <c r="Y61" i="1"/>
  <c r="Y20" i="1"/>
  <c r="Y21" i="1"/>
  <c r="V53" i="1"/>
  <c r="V131" i="1"/>
  <c r="Y26" i="1"/>
  <c r="Y108" i="1"/>
  <c r="V26" i="1"/>
  <c r="Y52" i="1"/>
  <c r="V20" i="1"/>
  <c r="V100" i="1"/>
  <c r="V101" i="1"/>
  <c r="V88" i="1"/>
  <c r="V87" i="1"/>
  <c r="Y107" i="1"/>
  <c r="Y113" i="1"/>
  <c r="Y183" i="1"/>
  <c r="Y184" i="1"/>
  <c r="V33" i="1"/>
  <c r="V34" i="1"/>
  <c r="V118" i="1"/>
  <c r="V119" i="1"/>
  <c r="V113" i="1"/>
  <c r="V184" i="1"/>
  <c r="V183" i="1"/>
  <c r="Y101" i="1"/>
  <c r="Y100" i="1"/>
  <c r="Y87" i="1"/>
  <c r="Y88" i="1"/>
  <c r="Y119" i="1"/>
  <c r="Y118" i="1"/>
  <c r="V107" i="1"/>
  <c r="Y131" i="1"/>
  <c r="Y130" i="1"/>
  <c r="Y84" i="1"/>
  <c r="Y83" i="1"/>
  <c r="V190" i="1"/>
  <c r="V191" i="1"/>
  <c r="Y31" i="1"/>
  <c r="Y30" i="1"/>
  <c r="V83" i="1"/>
  <c r="V84" i="1"/>
  <c r="V30" i="1"/>
  <c r="V132" i="1"/>
  <c r="V176" i="1"/>
  <c r="Y122" i="1"/>
  <c r="V158" i="1"/>
  <c r="V154" i="1"/>
  <c r="V61" i="1"/>
  <c r="V62" i="1"/>
  <c r="V35" i="1"/>
  <c r="V36" i="1"/>
  <c r="Y155" i="1"/>
  <c r="Y154" i="1"/>
  <c r="Y177" i="1"/>
  <c r="Y176" i="1"/>
  <c r="Y111" i="1"/>
  <c r="Y112" i="1"/>
  <c r="Y36" i="1"/>
  <c r="V128" i="1"/>
  <c r="V129" i="1"/>
  <c r="V136" i="1"/>
  <c r="V135" i="1"/>
  <c r="Y80" i="1"/>
  <c r="Y79" i="1"/>
  <c r="V157" i="1"/>
  <c r="V156" i="1"/>
  <c r="V68" i="1"/>
  <c r="V67" i="1"/>
  <c r="Y129" i="1"/>
  <c r="Y128" i="1"/>
  <c r="Y135" i="1"/>
  <c r="Y136" i="1"/>
  <c r="V80" i="1"/>
  <c r="V79" i="1"/>
  <c r="Y156" i="1"/>
  <c r="Y157" i="1"/>
  <c r="Y67" i="1"/>
  <c r="Y68" i="1"/>
  <c r="Y132" i="1"/>
  <c r="Y133" i="1"/>
  <c r="V121" i="1"/>
  <c r="V122" i="1"/>
  <c r="V14" i="1"/>
  <c r="V15" i="1"/>
  <c r="Y166" i="1"/>
  <c r="Y167" i="1"/>
  <c r="Y180" i="1"/>
  <c r="Y179" i="1"/>
  <c r="V164" i="1"/>
  <c r="V165" i="1"/>
  <c r="Y174" i="1"/>
  <c r="Y175" i="1"/>
  <c r="Y15" i="1"/>
  <c r="Y14" i="1"/>
  <c r="V167" i="1"/>
  <c r="V166" i="1"/>
  <c r="V179" i="1"/>
  <c r="V180" i="1"/>
  <c r="Y165" i="1"/>
  <c r="Y164" i="1"/>
  <c r="Y193" i="1"/>
  <c r="V29" i="1"/>
  <c r="Y40" i="1"/>
  <c r="Y41" i="1"/>
  <c r="Y170" i="1"/>
  <c r="Y171" i="1"/>
  <c r="Y187" i="1"/>
  <c r="Y186" i="1"/>
  <c r="V43" i="1"/>
  <c r="V42" i="1"/>
  <c r="Y82" i="1"/>
  <c r="Y81" i="1"/>
  <c r="V72" i="1"/>
  <c r="V73" i="1"/>
  <c r="Y142" i="1"/>
  <c r="Y141" i="1"/>
  <c r="Y19" i="1"/>
  <c r="Y18" i="1"/>
  <c r="V41" i="1"/>
  <c r="V40" i="1"/>
  <c r="V194" i="1"/>
  <c r="V193" i="1"/>
  <c r="V171" i="1"/>
  <c r="V170" i="1"/>
  <c r="V186" i="1"/>
  <c r="V187" i="1"/>
  <c r="Y28" i="1"/>
  <c r="Y29" i="1"/>
  <c r="Y42" i="1"/>
  <c r="Y43" i="1"/>
  <c r="V24" i="1"/>
  <c r="V23" i="1"/>
  <c r="V81" i="1"/>
  <c r="V82" i="1"/>
  <c r="Y72" i="1"/>
  <c r="Y73" i="1"/>
  <c r="V141" i="1"/>
  <c r="V142" i="1"/>
  <c r="V19" i="1"/>
  <c r="V18" i="1"/>
  <c r="V124" i="1"/>
  <c r="V123" i="1"/>
  <c r="V96" i="1"/>
  <c r="Y117" i="1"/>
  <c r="Y116" i="1"/>
  <c r="V160" i="1"/>
  <c r="V159" i="1"/>
  <c r="Y151" i="1"/>
  <c r="Y150" i="1"/>
  <c r="V77" i="1"/>
  <c r="V76" i="1"/>
  <c r="V106" i="1"/>
  <c r="V105" i="1"/>
  <c r="Y153" i="1"/>
  <c r="Y152" i="1"/>
  <c r="V145" i="1"/>
  <c r="V146" i="1"/>
  <c r="V169" i="1"/>
  <c r="V168" i="1"/>
  <c r="Y57" i="1"/>
  <c r="Y56" i="1"/>
  <c r="V117" i="1"/>
  <c r="V116" i="1"/>
  <c r="Y159" i="1"/>
  <c r="Y160" i="1"/>
  <c r="V151" i="1"/>
  <c r="V150" i="1"/>
  <c r="Y76" i="1"/>
  <c r="Y77" i="1"/>
  <c r="Y106" i="1"/>
  <c r="Y105" i="1"/>
  <c r="V153" i="1"/>
  <c r="V152" i="1"/>
  <c r="Y146" i="1"/>
  <c r="Y145" i="1"/>
  <c r="Y169" i="1"/>
  <c r="Y168" i="1"/>
  <c r="V56" i="1"/>
  <c r="V57" i="1"/>
  <c r="Y96" i="1"/>
  <c r="Z11" i="1" l="1"/>
  <c r="F19" i="1" s="1"/>
  <c r="F26" i="1" s="1"/>
  <c r="W11" i="1"/>
  <c r="B20" i="1" s="1"/>
  <c r="B59" i="1" l="1"/>
  <c r="F36" i="1"/>
</calcChain>
</file>

<file path=xl/comments1.xml><?xml version="1.0" encoding="utf-8"?>
<comments xmlns="http://schemas.openxmlformats.org/spreadsheetml/2006/main">
  <authors>
    <author>作者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b/>
            <sz val="8"/>
            <color indexed="81"/>
            <rFont val="宋体"/>
            <family val="3"/>
            <charset val="134"/>
          </rPr>
          <t>如果该值无显示，就说明占空比太大了，必须要减少</t>
        </r>
        <r>
          <rPr>
            <b/>
            <sz val="8"/>
            <color indexed="81"/>
            <rFont val="Tahoma"/>
            <family val="2"/>
          </rPr>
          <t>Vf</t>
        </r>
        <r>
          <rPr>
            <b/>
            <sz val="8"/>
            <color indexed="81"/>
            <rFont val="宋体"/>
            <family val="3"/>
            <charset val="134"/>
          </rPr>
          <t>。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宋体"/>
            <family val="3"/>
            <charset val="134"/>
          </rPr>
          <t>请输入变压器的Ae值，注意单位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sz val="9"/>
            <color indexed="81"/>
            <rFont val="宋体"/>
            <family val="3"/>
            <charset val="134"/>
          </rPr>
          <t>如果无法显示数值，说明绕不下，需要再设计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<sst xmlns="http://schemas.openxmlformats.org/spreadsheetml/2006/main" count="429" uniqueCount="254">
  <si>
    <t>Design Spec.</t>
    <phoneticPr fontId="1" type="noConversion"/>
  </si>
  <si>
    <t xml:space="preserve">LED Load Spec. </t>
    <phoneticPr fontId="1" type="noConversion"/>
  </si>
  <si>
    <t>最大输入电压_Vinmax=</t>
    <phoneticPr fontId="1" type="noConversion"/>
  </si>
  <si>
    <t>最小输入电压_Vinmin=</t>
    <phoneticPr fontId="1" type="noConversion"/>
  </si>
  <si>
    <t>LED单颗平均电压_Vled=</t>
    <phoneticPr fontId="1" type="noConversion"/>
  </si>
  <si>
    <t>LED单颗平均电流_Iled=</t>
    <phoneticPr fontId="1" type="noConversion"/>
  </si>
  <si>
    <t>LED串联数量_Qsled=</t>
    <phoneticPr fontId="1" type="noConversion"/>
  </si>
  <si>
    <t>LED并联数量_Qpled=</t>
    <phoneticPr fontId="1" type="noConversion"/>
  </si>
  <si>
    <t>电源输出电压_Vout=</t>
    <phoneticPr fontId="1" type="noConversion"/>
  </si>
  <si>
    <t>电源输出电流_Iout=</t>
    <phoneticPr fontId="1" type="noConversion"/>
  </si>
  <si>
    <t>Vdc</t>
    <phoneticPr fontId="1" type="noConversion"/>
  </si>
  <si>
    <t>Vac</t>
    <phoneticPr fontId="1" type="noConversion"/>
  </si>
  <si>
    <t>Hz</t>
    <phoneticPr fontId="1" type="noConversion"/>
  </si>
  <si>
    <t>mA</t>
    <phoneticPr fontId="1" type="noConversion"/>
  </si>
  <si>
    <t>Khz</t>
    <phoneticPr fontId="1" type="noConversion"/>
  </si>
  <si>
    <t>电源输出功率_Pout=</t>
    <phoneticPr fontId="1" type="noConversion"/>
  </si>
  <si>
    <t>Walt</t>
    <phoneticPr fontId="1" type="noConversion"/>
  </si>
  <si>
    <t>mH</t>
    <phoneticPr fontId="1" type="noConversion"/>
  </si>
  <si>
    <t>Pcs</t>
    <phoneticPr fontId="1" type="noConversion"/>
  </si>
  <si>
    <t>Ts</t>
    <phoneticPr fontId="1" type="noConversion"/>
  </si>
  <si>
    <t>mm</t>
    <phoneticPr fontId="1" type="noConversion"/>
  </si>
  <si>
    <t>辅助绕组线径_Df=</t>
    <phoneticPr fontId="1" type="noConversion"/>
  </si>
  <si>
    <t>Transformer Design （变压器设计）</t>
    <phoneticPr fontId="1" type="noConversion"/>
  </si>
  <si>
    <t>Current Sense Resistor 采样电阻</t>
    <phoneticPr fontId="1" type="noConversion"/>
  </si>
  <si>
    <t>电流采样电阻_Rcs=</t>
    <phoneticPr fontId="1" type="noConversion"/>
  </si>
  <si>
    <t>Ω</t>
    <phoneticPr fontId="1" type="noConversion"/>
  </si>
  <si>
    <t>由于MOSFET关断延时问题，实际阻值需跟据输出电流调试。</t>
    <phoneticPr fontId="1" type="noConversion"/>
  </si>
  <si>
    <t>Walt</t>
    <phoneticPr fontId="1" type="noConversion"/>
  </si>
  <si>
    <t>采样电阻功耗_Prcs=</t>
    <phoneticPr fontId="1" type="noConversion"/>
  </si>
  <si>
    <t>FB Sense Resistor FB反馈电阻</t>
    <phoneticPr fontId="1" type="noConversion"/>
  </si>
  <si>
    <t>系统工作最大占空比_Dmax=</t>
    <phoneticPr fontId="1" type="noConversion"/>
  </si>
  <si>
    <t>设计的系统效率@Vinmin_Eff=</t>
    <phoneticPr fontId="1" type="noConversion"/>
  </si>
  <si>
    <r>
      <t>填入，系统将自动算出相关的元件参数(</t>
    </r>
    <r>
      <rPr>
        <sz val="11"/>
        <color indexed="12"/>
        <rFont val="宋体"/>
        <family val="3"/>
        <charset val="134"/>
      </rPr>
      <t xml:space="preserve"> 蓝色字体</t>
    </r>
    <r>
      <rPr>
        <sz val="11"/>
        <color indexed="8"/>
        <rFont val="宋体"/>
        <family val="3"/>
        <charset val="134"/>
      </rPr>
      <t>）和系统工作参</t>
    </r>
    <r>
      <rPr>
        <sz val="11"/>
        <rFont val="宋体"/>
        <family val="3"/>
        <charset val="134"/>
      </rPr>
      <t>数（</t>
    </r>
    <r>
      <rPr>
        <sz val="11"/>
        <color indexed="14"/>
        <rFont val="宋体"/>
        <family val="3"/>
        <charset val="134"/>
      </rPr>
      <t>粉红色字体</t>
    </r>
    <r>
      <rPr>
        <sz val="11"/>
        <rFont val="宋体"/>
        <family val="3"/>
        <charset val="134"/>
      </rPr>
      <t>）。</t>
    </r>
    <phoneticPr fontId="1" type="noConversion"/>
  </si>
  <si>
    <t>T</t>
    <phoneticPr fontId="1" type="noConversion"/>
  </si>
  <si>
    <t>最低输入电压频率_Vinmin_Fin=</t>
    <phoneticPr fontId="1" type="noConversion"/>
  </si>
  <si>
    <t>电源输入功率_Pin=</t>
    <phoneticPr fontId="1" type="noConversion"/>
  </si>
  <si>
    <t>%</t>
    <phoneticPr fontId="1" type="noConversion"/>
  </si>
  <si>
    <t>mA</t>
  </si>
  <si>
    <t>mA</t>
    <phoneticPr fontId="1" type="noConversion"/>
  </si>
  <si>
    <t>A/mm2</t>
    <phoneticPr fontId="1" type="noConversion"/>
  </si>
  <si>
    <t>V</t>
    <phoneticPr fontId="1" type="noConversion"/>
  </si>
  <si>
    <t>估算厚度</t>
    <phoneticPr fontId="1" type="noConversion"/>
  </si>
  <si>
    <t>变压器绕制工艺</t>
    <phoneticPr fontId="1" type="noConversion"/>
  </si>
  <si>
    <t>辅助绕组漆包线外径</t>
    <phoneticPr fontId="1" type="noConversion"/>
  </si>
  <si>
    <t>骨架窗口槽宽</t>
    <phoneticPr fontId="1" type="noConversion"/>
  </si>
  <si>
    <t>骨架窗口槽深</t>
    <phoneticPr fontId="1" type="noConversion"/>
  </si>
  <si>
    <t>漆包线外径</t>
    <phoneticPr fontId="1" type="noConversion"/>
  </si>
  <si>
    <t>估算层数</t>
    <phoneticPr fontId="1" type="noConversion"/>
  </si>
  <si>
    <t>胶带等物质的总厚度</t>
    <phoneticPr fontId="1" type="noConversion"/>
  </si>
  <si>
    <t>绕制后总厚度</t>
    <phoneticPr fontId="1" type="noConversion"/>
  </si>
  <si>
    <t>最小输入峰值电压_Vacmin=</t>
    <phoneticPr fontId="1" type="noConversion"/>
  </si>
  <si>
    <t>最大输入峰值电压_Vacmax=</t>
    <phoneticPr fontId="1" type="noConversion"/>
  </si>
  <si>
    <t>V</t>
    <phoneticPr fontId="1" type="noConversion"/>
  </si>
  <si>
    <t>允许输出的最大纹波电压_△Vo=</t>
    <phoneticPr fontId="1" type="noConversion"/>
  </si>
  <si>
    <t>Vac</t>
    <phoneticPr fontId="1" type="noConversion"/>
  </si>
  <si>
    <t>3.7</t>
    <phoneticPr fontId="25" type="noConversion"/>
  </si>
  <si>
    <t>3.4</t>
    <phoneticPr fontId="25" type="noConversion"/>
  </si>
  <si>
    <t>104.0</t>
    <phoneticPr fontId="25" type="noConversion"/>
  </si>
  <si>
    <t>EDR3909</t>
    <phoneticPr fontId="25" type="noConversion"/>
  </si>
  <si>
    <t>67.6</t>
    <phoneticPr fontId="25" type="noConversion"/>
  </si>
  <si>
    <t>EDR2609</t>
    <phoneticPr fontId="25" type="noConversion"/>
  </si>
  <si>
    <t>2.2</t>
    <phoneticPr fontId="25" type="noConversion"/>
  </si>
  <si>
    <t>5.2</t>
    <phoneticPr fontId="25" type="noConversion"/>
  </si>
  <si>
    <t>65.0</t>
    <phoneticPr fontId="25" type="noConversion"/>
  </si>
  <si>
    <t>EDR2602</t>
    <phoneticPr fontId="25" type="noConversion"/>
  </si>
  <si>
    <t>4.0</t>
    <phoneticPr fontId="25" type="noConversion"/>
  </si>
  <si>
    <t>4.3</t>
    <phoneticPr fontId="25" type="noConversion"/>
  </si>
  <si>
    <t>52.8</t>
    <phoneticPr fontId="25" type="noConversion"/>
  </si>
  <si>
    <t>ER2509</t>
    <phoneticPr fontId="25" type="noConversion"/>
  </si>
  <si>
    <t>13.9</t>
    <phoneticPr fontId="25" type="noConversion"/>
  </si>
  <si>
    <t>3.6</t>
    <phoneticPr fontId="25" type="noConversion"/>
  </si>
  <si>
    <t>118.0</t>
    <phoneticPr fontId="25" type="noConversion"/>
  </si>
  <si>
    <t>PQ2625</t>
    <phoneticPr fontId="25" type="noConversion"/>
  </si>
  <si>
    <t>9.2</t>
    <phoneticPr fontId="25" type="noConversion"/>
  </si>
  <si>
    <t>119.0</t>
    <phoneticPr fontId="25" type="noConversion"/>
  </si>
  <si>
    <t>PQ2620</t>
    <phoneticPr fontId="25" type="noConversion"/>
  </si>
  <si>
    <t>12.0</t>
    <phoneticPr fontId="25" type="noConversion"/>
  </si>
  <si>
    <t>3.1</t>
    <phoneticPr fontId="25" type="noConversion"/>
  </si>
  <si>
    <t>62.0</t>
    <phoneticPr fontId="25" type="noConversion"/>
  </si>
  <si>
    <t>PQ2020</t>
    <phoneticPr fontId="25" type="noConversion"/>
  </si>
  <si>
    <t>8.0</t>
    <phoneticPr fontId="25" type="noConversion"/>
  </si>
  <si>
    <t>PQ2016</t>
    <phoneticPr fontId="25" type="noConversion"/>
  </si>
  <si>
    <t>10.8</t>
    <phoneticPr fontId="25" type="noConversion"/>
  </si>
  <si>
    <t>4.2</t>
    <phoneticPr fontId="25" type="noConversion"/>
  </si>
  <si>
    <t>96.6</t>
    <phoneticPr fontId="25" type="noConversion"/>
  </si>
  <si>
    <t>RM10</t>
    <phoneticPr fontId="25" type="noConversion"/>
  </si>
  <si>
    <t>9.2</t>
    <phoneticPr fontId="25" type="noConversion"/>
  </si>
  <si>
    <t>3.5</t>
    <phoneticPr fontId="25" type="noConversion"/>
  </si>
  <si>
    <t>63.0</t>
    <phoneticPr fontId="25" type="noConversion"/>
  </si>
  <si>
    <t>RM8</t>
    <phoneticPr fontId="25" type="noConversion"/>
  </si>
  <si>
    <t>6.4</t>
    <phoneticPr fontId="25" type="noConversion"/>
  </si>
  <si>
    <t>2.4</t>
    <phoneticPr fontId="25" type="noConversion"/>
  </si>
  <si>
    <t>37.0</t>
    <phoneticPr fontId="25" type="noConversion"/>
  </si>
  <si>
    <t>RM6</t>
    <phoneticPr fontId="25" type="noConversion"/>
  </si>
  <si>
    <t>3.3</t>
    <phoneticPr fontId="25" type="noConversion"/>
  </si>
  <si>
    <t>17.2</t>
    <phoneticPr fontId="25" type="noConversion"/>
  </si>
  <si>
    <t>56.3</t>
    <phoneticPr fontId="25" type="noConversion"/>
  </si>
  <si>
    <t>ETD24</t>
    <phoneticPr fontId="25" type="noConversion"/>
  </si>
  <si>
    <t>2.1</t>
    <phoneticPr fontId="25" type="noConversion"/>
  </si>
  <si>
    <t>16.0</t>
    <phoneticPr fontId="25" type="noConversion"/>
  </si>
  <si>
    <t>41.3</t>
    <phoneticPr fontId="25" type="noConversion"/>
  </si>
  <si>
    <t>ETD19</t>
    <phoneticPr fontId="25" type="noConversion"/>
  </si>
  <si>
    <t>4.5</t>
    <phoneticPr fontId="25" type="noConversion"/>
  </si>
  <si>
    <t>9.8</t>
    <phoneticPr fontId="25" type="noConversion"/>
  </si>
  <si>
    <t>42.0</t>
    <phoneticPr fontId="25" type="noConversion"/>
  </si>
  <si>
    <t>EE25</t>
    <phoneticPr fontId="25" type="noConversion"/>
  </si>
  <si>
    <t>2.3-3.6</t>
    <phoneticPr fontId="25" type="noConversion"/>
  </si>
  <si>
    <t>8.5</t>
    <phoneticPr fontId="25" type="noConversion"/>
  </si>
  <si>
    <t>41.0</t>
    <phoneticPr fontId="25" type="noConversion"/>
  </si>
  <si>
    <t>EE22</t>
    <phoneticPr fontId="25" type="noConversion"/>
  </si>
  <si>
    <t>3.7</t>
    <phoneticPr fontId="25" type="noConversion"/>
  </si>
  <si>
    <t>9.0</t>
    <phoneticPr fontId="25" type="noConversion"/>
  </si>
  <si>
    <t>23.0</t>
    <phoneticPr fontId="25" type="noConversion"/>
  </si>
  <si>
    <t>EE19</t>
    <phoneticPr fontId="25" type="noConversion"/>
  </si>
  <si>
    <t>2.8</t>
    <phoneticPr fontId="25" type="noConversion"/>
  </si>
  <si>
    <t>8.4</t>
    <phoneticPr fontId="25" type="noConversion"/>
  </si>
  <si>
    <t>19.2</t>
    <phoneticPr fontId="25" type="noConversion"/>
  </si>
  <si>
    <t>EE16</t>
    <phoneticPr fontId="25" type="noConversion"/>
  </si>
  <si>
    <t>2.5</t>
    <phoneticPr fontId="25" type="noConversion"/>
  </si>
  <si>
    <t>12.8</t>
    <phoneticPr fontId="25" type="noConversion"/>
  </si>
  <si>
    <t>22.7</t>
    <phoneticPr fontId="25" type="noConversion"/>
  </si>
  <si>
    <t>EPC19</t>
    <phoneticPr fontId="25" type="noConversion"/>
  </si>
  <si>
    <t>1.7</t>
    <phoneticPr fontId="25" type="noConversion"/>
  </si>
  <si>
    <t>6.8</t>
    <phoneticPr fontId="25" type="noConversion"/>
  </si>
  <si>
    <t>12.5</t>
    <phoneticPr fontId="25" type="noConversion"/>
  </si>
  <si>
    <t>EPC13</t>
    <phoneticPr fontId="25" type="noConversion"/>
  </si>
  <si>
    <t>槽深（mm)</t>
    <phoneticPr fontId="25" type="noConversion"/>
  </si>
  <si>
    <t>槽宽（mm)</t>
    <phoneticPr fontId="25" type="noConversion"/>
  </si>
  <si>
    <r>
      <t>Ae(mm</t>
    </r>
    <r>
      <rPr>
        <vertAlign val="superscript"/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</rPr>
      <t>)</t>
    </r>
    <phoneticPr fontId="25" type="noConversion"/>
  </si>
  <si>
    <t>型号</t>
    <phoneticPr fontId="25" type="noConversion"/>
  </si>
  <si>
    <t>104.0</t>
    <phoneticPr fontId="25" type="noConversion"/>
  </si>
  <si>
    <t>EDR3909</t>
    <phoneticPr fontId="25" type="noConversion"/>
  </si>
  <si>
    <t>104.0</t>
    <phoneticPr fontId="25" type="noConversion"/>
  </si>
  <si>
    <t>EDR3909</t>
    <phoneticPr fontId="25" type="noConversion"/>
  </si>
  <si>
    <t>119</t>
    <phoneticPr fontId="25" type="noConversion"/>
  </si>
  <si>
    <t>56.3</t>
    <phoneticPr fontId="25" type="noConversion"/>
  </si>
  <si>
    <t>ETD24</t>
    <phoneticPr fontId="25" type="noConversion"/>
  </si>
  <si>
    <t>67.6</t>
    <phoneticPr fontId="25" type="noConversion"/>
  </si>
  <si>
    <t>EDR2609</t>
    <phoneticPr fontId="25" type="noConversion"/>
  </si>
  <si>
    <t>65</t>
    <phoneticPr fontId="25" type="noConversion"/>
  </si>
  <si>
    <t>EDR2602</t>
    <phoneticPr fontId="25" type="noConversion"/>
  </si>
  <si>
    <t>ER2510</t>
    <phoneticPr fontId="25" type="noConversion"/>
  </si>
  <si>
    <t>62</t>
    <phoneticPr fontId="25" type="noConversion"/>
  </si>
  <si>
    <t>PQ2020</t>
    <phoneticPr fontId="25" type="noConversion"/>
  </si>
  <si>
    <t>46.4</t>
    <phoneticPr fontId="25" type="noConversion"/>
  </si>
  <si>
    <t>EPC25</t>
  </si>
  <si>
    <t>42.0</t>
    <phoneticPr fontId="25" type="noConversion"/>
  </si>
  <si>
    <t>EE25</t>
    <phoneticPr fontId="25" type="noConversion"/>
  </si>
  <si>
    <t>EPC25</t>
    <phoneticPr fontId="25" type="noConversion"/>
  </si>
  <si>
    <t>PQ2016</t>
    <phoneticPr fontId="25" type="noConversion"/>
  </si>
  <si>
    <t>41.3</t>
    <phoneticPr fontId="25" type="noConversion"/>
  </si>
  <si>
    <t>ETD19</t>
    <phoneticPr fontId="25" type="noConversion"/>
  </si>
  <si>
    <t>41.0</t>
    <phoneticPr fontId="25" type="noConversion"/>
  </si>
  <si>
    <t>EE22</t>
    <phoneticPr fontId="25" type="noConversion"/>
  </si>
  <si>
    <t>96.6</t>
    <phoneticPr fontId="25" type="noConversion"/>
  </si>
  <si>
    <t>RM10</t>
    <phoneticPr fontId="25" type="noConversion"/>
  </si>
  <si>
    <t>31.0</t>
    <phoneticPr fontId="25" type="noConversion"/>
  </si>
  <si>
    <t>EFD21</t>
    <phoneticPr fontId="25" type="noConversion"/>
  </si>
  <si>
    <t>EE20</t>
    <phoneticPr fontId="25" type="noConversion"/>
  </si>
  <si>
    <t>62</t>
    <phoneticPr fontId="25" type="noConversion"/>
  </si>
  <si>
    <t>31.0</t>
    <phoneticPr fontId="25" type="noConversion"/>
  </si>
  <si>
    <t>EFD20</t>
    <phoneticPr fontId="25" type="noConversion"/>
  </si>
  <si>
    <t>22.8</t>
    <phoneticPr fontId="25" type="noConversion"/>
  </si>
  <si>
    <t>EPC17</t>
    <phoneticPr fontId="25" type="noConversion"/>
  </si>
  <si>
    <t>15.0</t>
    <phoneticPr fontId="25" type="noConversion"/>
  </si>
  <si>
    <t>EFD15</t>
    <phoneticPr fontId="25" type="noConversion"/>
  </si>
  <si>
    <t>17.0</t>
    <phoneticPr fontId="25" type="noConversion"/>
  </si>
  <si>
    <t>EE13</t>
    <phoneticPr fontId="25" type="noConversion"/>
  </si>
  <si>
    <t>磁芯</t>
    <phoneticPr fontId="25" type="noConversion"/>
  </si>
  <si>
    <t>常用型号磁芯选择与Ae值。    （不同厂家生产的磁芯，Ae值有所不同，下面的数据仅供参考）</t>
    <phoneticPr fontId="25" type="noConversion"/>
  </si>
  <si>
    <t xml:space="preserve"> /</t>
    <phoneticPr fontId="25" type="noConversion"/>
  </si>
  <si>
    <t>kg/km</t>
    <phoneticPr fontId="25" type="noConversion"/>
  </si>
  <si>
    <t>最大值</t>
    <phoneticPr fontId="25" type="noConversion"/>
  </si>
  <si>
    <t>最小值</t>
    <phoneticPr fontId="25" type="noConversion"/>
  </si>
  <si>
    <t>标称值</t>
    <phoneticPr fontId="25" type="noConversion"/>
  </si>
  <si>
    <t>2级</t>
    <phoneticPr fontId="25" type="noConversion"/>
  </si>
  <si>
    <t>SWG</t>
    <phoneticPr fontId="25" type="noConversion"/>
  </si>
  <si>
    <t>AWG</t>
    <phoneticPr fontId="25" type="noConversion"/>
  </si>
  <si>
    <t>mm2</t>
    <phoneticPr fontId="25" type="noConversion"/>
  </si>
  <si>
    <t>Φn/mm</t>
    <phoneticPr fontId="25" type="noConversion"/>
  </si>
  <si>
    <t>参考重量</t>
    <phoneticPr fontId="25" type="noConversion"/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</si>
  <si>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3"/>
        <charset val="134"/>
      </rPr>
      <t>Ro/Ω*m</t>
    </r>
    <r>
      <rPr>
        <vertAlign val="superscript"/>
        <sz val="10"/>
        <rFont val="宋体"/>
        <family val="3"/>
        <charset val="134"/>
      </rPr>
      <t>-1</t>
    </r>
    <phoneticPr fontId="25" type="noConversion"/>
  </si>
  <si>
    <r>
      <rPr>
        <sz val="10"/>
        <rFont val="宋体"/>
        <family val="3"/>
        <charset val="134"/>
      </rPr>
      <t>最大外径</t>
    </r>
    <r>
      <rPr>
        <sz val="10"/>
        <rFont val="Arial Narrow"/>
        <family val="2"/>
      </rPr>
      <t xml:space="preserve"> Φmax/mm</t>
    </r>
    <phoneticPr fontId="25" type="noConversion"/>
  </si>
  <si>
    <t>相似英规</t>
    <phoneticPr fontId="25" type="noConversion"/>
  </si>
  <si>
    <t>相似美规</t>
    <phoneticPr fontId="25" type="noConversion"/>
  </si>
  <si>
    <t>截面面积</t>
    <phoneticPr fontId="25" type="noConversion"/>
  </si>
  <si>
    <t>标称直径</t>
    <phoneticPr fontId="25" type="noConversion"/>
  </si>
  <si>
    <r>
      <t>O</t>
    </r>
    <r>
      <rPr>
        <b/>
        <sz val="11"/>
        <color indexed="8"/>
        <rFont val="宋体"/>
        <family val="3"/>
        <charset val="134"/>
      </rPr>
      <t>utput Capacitor</t>
    </r>
    <r>
      <rPr>
        <b/>
        <sz val="11"/>
        <color indexed="8"/>
        <rFont val="宋体"/>
        <family val="3"/>
        <charset val="134"/>
      </rPr>
      <t xml:space="preserve"> 输出电容</t>
    </r>
    <phoneticPr fontId="1" type="noConversion"/>
  </si>
  <si>
    <r>
      <t>输出电容大小_</t>
    </r>
    <r>
      <rPr>
        <sz val="11"/>
        <color indexed="8"/>
        <rFont val="宋体"/>
        <family val="3"/>
        <charset val="134"/>
      </rPr>
      <t>Cout</t>
    </r>
    <r>
      <rPr>
        <sz val="11"/>
        <color indexed="8"/>
        <rFont val="宋体"/>
        <family val="3"/>
        <charset val="134"/>
      </rPr>
      <t>=</t>
    </r>
    <phoneticPr fontId="1" type="noConversion"/>
  </si>
  <si>
    <t>uF</t>
    <phoneticPr fontId="1" type="noConversion"/>
  </si>
  <si>
    <t>kΩ</t>
    <phoneticPr fontId="1" type="noConversion"/>
  </si>
  <si>
    <t>kHz</t>
    <phoneticPr fontId="1" type="noConversion"/>
  </si>
  <si>
    <t>初级绕组并绕股数</t>
    <phoneticPr fontId="1" type="noConversion"/>
  </si>
  <si>
    <t>股</t>
    <phoneticPr fontId="1" type="noConversion"/>
  </si>
  <si>
    <t>初级绕组铜线电流密度</t>
    <phoneticPr fontId="1" type="noConversion"/>
  </si>
  <si>
    <t>A/mm2</t>
    <phoneticPr fontId="1" type="noConversion"/>
  </si>
  <si>
    <t>辅助绕组并绕股数</t>
    <phoneticPr fontId="1" type="noConversion"/>
  </si>
  <si>
    <t>股</t>
    <phoneticPr fontId="1" type="noConversion"/>
  </si>
  <si>
    <t>辅助绕组铜线电流密度</t>
    <phoneticPr fontId="1" type="noConversion"/>
  </si>
  <si>
    <t>A/mm2</t>
    <phoneticPr fontId="1" type="noConversion"/>
  </si>
  <si>
    <r>
      <t>母线C</t>
    </r>
    <r>
      <rPr>
        <sz val="11"/>
        <color indexed="8"/>
        <rFont val="宋体"/>
        <family val="3"/>
        <charset val="134"/>
      </rPr>
      <t>BB电容最小选取值Ccbb=</t>
    </r>
    <phoneticPr fontId="1" type="noConversion"/>
  </si>
  <si>
    <t>nF</t>
    <phoneticPr fontId="1" type="noConversion"/>
  </si>
  <si>
    <t>FB下拉电阻_Rfbl=</t>
    <phoneticPr fontId="1" type="noConversion"/>
  </si>
  <si>
    <r>
      <t>工作检测电压 Vfb</t>
    </r>
    <r>
      <rPr>
        <sz val="11"/>
        <color indexed="8"/>
        <rFont val="宋体"/>
        <family val="3"/>
        <charset val="134"/>
      </rPr>
      <t>normal</t>
    </r>
    <r>
      <rPr>
        <sz val="11"/>
        <color indexed="8"/>
        <rFont val="宋体"/>
        <family val="3"/>
        <charset val="134"/>
      </rPr>
      <t>=</t>
    </r>
    <phoneticPr fontId="1" type="noConversion"/>
  </si>
  <si>
    <r>
      <t>负载开路输出电压 Vovp</t>
    </r>
    <r>
      <rPr>
        <sz val="11"/>
        <color indexed="8"/>
        <rFont val="宋体"/>
        <family val="3"/>
        <charset val="134"/>
      </rPr>
      <t>=</t>
    </r>
    <phoneticPr fontId="1" type="noConversion"/>
  </si>
  <si>
    <t>deg</t>
    <phoneticPr fontId="1" type="noConversion"/>
  </si>
  <si>
    <t>deg(pi)</t>
    <phoneticPr fontId="1" type="noConversion"/>
  </si>
  <si>
    <t>D</t>
    <phoneticPr fontId="1" type="noConversion"/>
  </si>
  <si>
    <t>Vbus-Vout</t>
    <phoneticPr fontId="1" type="noConversion"/>
  </si>
  <si>
    <t>梯形面积</t>
    <phoneticPr fontId="1" type="noConversion"/>
  </si>
  <si>
    <t>Vbus-Vout积分</t>
    <phoneticPr fontId="1" type="noConversion"/>
  </si>
  <si>
    <t>峰值电流</t>
    <phoneticPr fontId="1" type="noConversion"/>
  </si>
  <si>
    <t>Ipk(t)</t>
    <phoneticPr fontId="1" type="noConversion"/>
  </si>
  <si>
    <t>Ipk^2*D/3</t>
    <phoneticPr fontId="1" type="noConversion"/>
  </si>
  <si>
    <t>Imosrms</t>
    <phoneticPr fontId="1" type="noConversion"/>
  </si>
  <si>
    <t>Iinductorrms</t>
    <phoneticPr fontId="1" type="noConversion"/>
  </si>
  <si>
    <t>Ipk^2/3</t>
    <phoneticPr fontId="1" type="noConversion"/>
  </si>
  <si>
    <t>MOSFET电流有效值_Imrms=</t>
    <phoneticPr fontId="1" type="noConversion"/>
  </si>
  <si>
    <t>主绕组漆包线外径</t>
    <phoneticPr fontId="1" type="noConversion"/>
  </si>
  <si>
    <t>推荐变压器电感量_Lp=</t>
    <phoneticPr fontId="1" type="noConversion"/>
  </si>
  <si>
    <t>实际选用的变压器电感量_Lreal=</t>
    <phoneticPr fontId="1" type="noConversion"/>
  </si>
  <si>
    <r>
      <t>实际变压器工作的最大磁通_</t>
    </r>
    <r>
      <rPr>
        <sz val="11"/>
        <color indexed="8"/>
        <rFont val="宋体"/>
        <family val="3"/>
        <charset val="134"/>
      </rPr>
      <t>Bmaxreal=</t>
    </r>
    <phoneticPr fontId="1" type="noConversion"/>
  </si>
  <si>
    <t>实际工作的最小频率_Fswmin=</t>
    <phoneticPr fontId="1" type="noConversion"/>
  </si>
  <si>
    <t>设计铜线的电流密度</t>
    <phoneticPr fontId="1" type="noConversion"/>
  </si>
  <si>
    <r>
      <t>辅助绕组的匝数</t>
    </r>
    <r>
      <rPr>
        <sz val="11"/>
        <color indexed="8"/>
        <rFont val="宋体"/>
        <family val="3"/>
        <charset val="134"/>
      </rPr>
      <t>_Nf=</t>
    </r>
    <phoneticPr fontId="1" type="noConversion"/>
  </si>
  <si>
    <t>推荐主绕组线径_Dp=</t>
    <phoneticPr fontId="1" type="noConversion"/>
  </si>
  <si>
    <t>电感峰值电流_Ippk=</t>
    <phoneticPr fontId="1" type="noConversion"/>
  </si>
  <si>
    <t>电感电流有效值_Iprms=</t>
    <phoneticPr fontId="1" type="noConversion"/>
  </si>
  <si>
    <t>Current Calculation （电感电流计算）</t>
    <phoneticPr fontId="1" type="noConversion"/>
  </si>
  <si>
    <t>FB上拉电阻_Rfbh=</t>
    <phoneticPr fontId="1" type="noConversion"/>
  </si>
  <si>
    <t>整流二极管电压_Vdf=</t>
    <phoneticPr fontId="1" type="noConversion"/>
  </si>
  <si>
    <t>系统工作波峰最低频率_Vmax_Fsw=</t>
    <phoneticPr fontId="1" type="noConversion"/>
  </si>
  <si>
    <t>选用变压器的型号_Ttype=</t>
    <phoneticPr fontId="1" type="noConversion"/>
  </si>
  <si>
    <t>选用的变压器截面积_Ae=</t>
    <phoneticPr fontId="1" type="noConversion"/>
  </si>
  <si>
    <t>推荐主绕组的匝数_Np=</t>
    <phoneticPr fontId="1" type="noConversion"/>
  </si>
  <si>
    <t>设计变压器工作的最大磁通_Bmax=</t>
    <phoneticPr fontId="1" type="noConversion"/>
  </si>
  <si>
    <t>c㎡</t>
    <phoneticPr fontId="1" type="noConversion"/>
  </si>
  <si>
    <r>
      <t>实际选用的主绕组匝数_</t>
    </r>
    <r>
      <rPr>
        <sz val="11"/>
        <color indexed="8"/>
        <rFont val="宋体"/>
        <family val="3"/>
        <charset val="134"/>
      </rPr>
      <t>Npreal=</t>
    </r>
    <phoneticPr fontId="1" type="noConversion"/>
  </si>
  <si>
    <t>Ts</t>
    <phoneticPr fontId="1" type="noConversion"/>
  </si>
  <si>
    <t>V</t>
    <phoneticPr fontId="1" type="noConversion"/>
  </si>
  <si>
    <t>欧美全压（90V-305V）</t>
    <phoneticPr fontId="1" type="noConversion"/>
  </si>
  <si>
    <t>国内全压（90V-265V）</t>
    <phoneticPr fontId="1" type="noConversion"/>
  </si>
  <si>
    <t xml:space="preserve">             </t>
    <phoneticPr fontId="1" type="noConversion"/>
  </si>
  <si>
    <t xml:space="preserve"> </t>
    <phoneticPr fontId="1" type="noConversion"/>
  </si>
  <si>
    <t xml:space="preserve"> </t>
    <phoneticPr fontId="1" type="noConversion"/>
  </si>
  <si>
    <t>实际设计辅助绕组电压Vddreal=</t>
    <phoneticPr fontId="1" type="noConversion"/>
  </si>
  <si>
    <t>实际辅助绕组匝比Nvcc=</t>
    <phoneticPr fontId="1" type="noConversion"/>
  </si>
  <si>
    <t>实际选用的辅助绕组匝数_Nvccreal=</t>
    <phoneticPr fontId="1" type="noConversion"/>
  </si>
  <si>
    <t>EE10</t>
    <phoneticPr fontId="1" type="noConversion"/>
  </si>
  <si>
    <r>
      <t xml:space="preserve">BP2306XJ/BP2308 LED驱动电源设计           </t>
    </r>
    <r>
      <rPr>
        <b/>
        <sz val="10"/>
        <rFont val="宋体"/>
        <family val="3"/>
        <charset val="134"/>
      </rPr>
      <t xml:space="preserve"> V0.2</t>
    </r>
    <phoneticPr fontId="1" type="noConversion"/>
  </si>
  <si>
    <r>
      <t>使用说明：本软件用于BPSemi的BP2306XJ/BP2308 LED恒流驱动IC理论设计。软件中</t>
    </r>
    <r>
      <rPr>
        <sz val="11"/>
        <color indexed="10"/>
        <rFont val="宋体"/>
        <family val="3"/>
        <charset val="134"/>
      </rPr>
      <t>红色字体</t>
    </r>
    <r>
      <rPr>
        <sz val="11"/>
        <color indexed="8"/>
        <rFont val="宋体"/>
        <family val="3"/>
        <charset val="134"/>
      </rPr>
      <t>是根据实际电气参数要求</t>
    </r>
    <phoneticPr fontId="1" type="noConversion"/>
  </si>
  <si>
    <t>BP2308原理图</t>
    <phoneticPr fontId="1" type="noConversion"/>
  </si>
  <si>
    <t>Ripple电流&lt;30%，按1uF/1mA选取容值，电容的耐压建议高于额定输出电压20%。</t>
    <phoneticPr fontId="1" type="noConversion"/>
  </si>
  <si>
    <t>BP2306XJ原理图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</si>
</sst>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0_ "/>
    <numFmt numFmtId="178" formatCode="0.0_ "/>
    <numFmt numFmtId="179" formatCode="0.000_ "/>
    <numFmt numFmtId="180" formatCode="0.0000_ "/>
    <numFmt numFmtId="181" formatCode="0.000000_ "/>
    <numFmt numFmtId="182" formatCode="0.00000_ "/>
  </numFmts>
  <fonts count="42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9"/>
      <color indexed="81"/>
      <name val="Tahoma"/>
      <family val="2"/>
    </font>
    <font>
      <b/>
      <sz val="11"/>
      <color indexed="8"/>
      <name val="宋体"/>
      <family val="3"/>
      <charset val="134"/>
    </font>
    <font>
      <i/>
      <sz val="11"/>
      <color indexed="8"/>
      <name val="Arial Unicode MS"/>
      <family val="2"/>
      <charset val="134"/>
    </font>
    <font>
      <b/>
      <sz val="11"/>
      <color indexed="10"/>
      <name val="宋体"/>
      <family val="3"/>
      <charset val="134"/>
    </font>
    <font>
      <b/>
      <sz val="11"/>
      <color indexed="12"/>
      <name val="宋体"/>
      <family val="3"/>
      <charset val="134"/>
    </font>
    <font>
      <i/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2"/>
      <name val="宋体"/>
      <family val="3"/>
      <charset val="134"/>
    </font>
    <font>
      <sz val="11"/>
      <color indexed="14"/>
      <name val="宋体"/>
      <family val="3"/>
      <charset val="134"/>
    </font>
    <font>
      <b/>
      <sz val="1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宋体"/>
      <family val="3"/>
      <charset val="134"/>
    </font>
    <font>
      <i/>
      <sz val="11"/>
      <color indexed="8"/>
      <name val="Arial"/>
      <family val="2"/>
    </font>
    <font>
      <b/>
      <sz val="11"/>
      <color indexed="10"/>
      <name val="黑体"/>
      <family val="3"/>
      <charset val="134"/>
    </font>
    <font>
      <b/>
      <sz val="11"/>
      <color indexed="8"/>
      <name val="Times New Roman"/>
      <family val="1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1228FA"/>
      <name val="宋体"/>
      <family val="3"/>
      <charset val="134"/>
    </font>
    <font>
      <sz val="11"/>
      <color theme="0"/>
      <name val="宋体"/>
      <family val="3"/>
      <charset val="134"/>
    </font>
    <font>
      <b/>
      <sz val="11"/>
      <color theme="0"/>
      <name val="宋体"/>
      <family val="3"/>
      <charset val="134"/>
    </font>
    <font>
      <i/>
      <sz val="11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4" fillId="0" borderId="0">
      <alignment vertical="center"/>
    </xf>
  </cellStyleXfs>
  <cellXfs count="214">
    <xf numFmtId="0" fontId="0" fillId="0" borderId="0" xfId="0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176" fontId="6" fillId="2" borderId="1" xfId="0" applyNumberFormat="1" applyFont="1" applyFill="1" applyBorder="1" applyAlignment="1" applyProtection="1">
      <alignment horizontal="center" vertical="center"/>
      <protection hidden="1"/>
    </xf>
    <xf numFmtId="177" fontId="6" fillId="2" borderId="1" xfId="0" applyNumberFormat="1" applyFont="1" applyFill="1" applyBorder="1" applyAlignment="1" applyProtection="1">
      <alignment horizontal="center" vertical="center"/>
      <protection hidden="1"/>
    </xf>
    <xf numFmtId="176" fontId="6" fillId="2" borderId="2" xfId="0" applyNumberFormat="1" applyFont="1" applyFill="1" applyBorder="1" applyAlignment="1" applyProtection="1">
      <alignment horizontal="center" vertical="center"/>
      <protection hidden="1"/>
    </xf>
    <xf numFmtId="176" fontId="3" fillId="2" borderId="0" xfId="0" applyNumberFormat="1" applyFont="1" applyFill="1" applyBorder="1" applyAlignment="1" applyProtection="1">
      <alignment horizontal="center" vertical="center"/>
      <protection hidden="1"/>
    </xf>
    <xf numFmtId="176" fontId="6" fillId="3" borderId="1" xfId="0" applyNumberFormat="1" applyFont="1" applyFill="1" applyBorder="1" applyAlignment="1" applyProtection="1">
      <alignment horizontal="center" vertical="center"/>
      <protection hidden="1"/>
    </xf>
    <xf numFmtId="178" fontId="6" fillId="3" borderId="1" xfId="0" applyNumberFormat="1" applyFont="1" applyFill="1" applyBorder="1" applyAlignment="1" applyProtection="1">
      <alignment horizontal="center" vertical="center"/>
      <protection hidden="1"/>
    </xf>
    <xf numFmtId="177" fontId="6" fillId="3" borderId="1" xfId="0" applyNumberFormat="1" applyFont="1" applyFill="1" applyBorder="1" applyAlignment="1" applyProtection="1">
      <alignment horizontal="center" vertical="center"/>
      <protection hidden="1"/>
    </xf>
    <xf numFmtId="176" fontId="6" fillId="3" borderId="2" xfId="0" applyNumberFormat="1" applyFont="1" applyFill="1" applyBorder="1" applyAlignment="1" applyProtection="1">
      <alignment horizontal="center" vertical="center"/>
      <protection hidden="1"/>
    </xf>
    <xf numFmtId="178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20" fillId="2" borderId="1" xfId="0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alignment vertical="center"/>
      <protection hidden="1"/>
    </xf>
    <xf numFmtId="0" fontId="0" fillId="3" borderId="4" xfId="0" applyFill="1" applyBorder="1" applyProtection="1">
      <alignment vertical="center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0" fillId="3" borderId="6" xfId="0" applyFill="1" applyBorder="1" applyProtection="1">
      <alignment vertical="center"/>
      <protection hidden="1"/>
    </xf>
    <xf numFmtId="0" fontId="0" fillId="3" borderId="7" xfId="0" applyFill="1" applyBorder="1" applyProtection="1">
      <alignment vertical="center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Protection="1">
      <alignment vertical="center"/>
      <protection hidden="1"/>
    </xf>
    <xf numFmtId="0" fontId="0" fillId="3" borderId="8" xfId="0" applyFill="1" applyBorder="1" applyProtection="1">
      <alignment vertical="center"/>
      <protection hidden="1"/>
    </xf>
    <xf numFmtId="0" fontId="4" fillId="3" borderId="9" xfId="0" applyFont="1" applyFill="1" applyBorder="1" applyProtection="1">
      <alignment vertical="center"/>
      <protection hidden="1"/>
    </xf>
    <xf numFmtId="0" fontId="0" fillId="3" borderId="10" xfId="0" applyFill="1" applyBorder="1" applyProtection="1">
      <alignment vertical="center"/>
      <protection hidden="1"/>
    </xf>
    <xf numFmtId="176" fontId="5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0" fillId="0" borderId="11" xfId="0" applyFill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0" fillId="2" borderId="2" xfId="0" applyFill="1" applyBorder="1" applyProtection="1">
      <alignment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0" fillId="2" borderId="11" xfId="0" applyFill="1" applyBorder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178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9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76" fontId="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Protection="1">
      <alignment vertical="center"/>
      <protection hidden="1"/>
    </xf>
    <xf numFmtId="176" fontId="6" fillId="2" borderId="15" xfId="0" applyNumberFormat="1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Protection="1">
      <alignment vertical="center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176" fontId="20" fillId="2" borderId="15" xfId="0" applyNumberFormat="1" applyFont="1" applyFill="1" applyBorder="1" applyAlignment="1" applyProtection="1">
      <alignment horizontal="center"/>
      <protection locked="0"/>
    </xf>
    <xf numFmtId="176" fontId="20" fillId="2" borderId="18" xfId="0" applyNumberFormat="1" applyFont="1" applyFill="1" applyBorder="1" applyAlignment="1" applyProtection="1">
      <alignment horizontal="center"/>
      <protection locked="0"/>
    </xf>
    <xf numFmtId="176" fontId="20" fillId="2" borderId="19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alignment vertical="center"/>
      <protection hidden="1"/>
    </xf>
    <xf numFmtId="0" fontId="0" fillId="0" borderId="20" xfId="0" applyFill="1" applyBorder="1" applyProtection="1">
      <alignment vertical="center"/>
      <protection hidden="1"/>
    </xf>
    <xf numFmtId="176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0" fontId="0" fillId="0" borderId="21" xfId="0" applyFill="1" applyBorder="1" applyProtection="1">
      <alignment vertical="center"/>
      <protection hidden="1"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left" vertical="center"/>
      <protection hidden="1"/>
    </xf>
    <xf numFmtId="0" fontId="24" fillId="3" borderId="7" xfId="0" applyFont="1" applyFill="1" applyBorder="1" applyProtection="1">
      <alignment vertical="center"/>
      <protection hidden="1"/>
    </xf>
    <xf numFmtId="49" fontId="24" fillId="0" borderId="0" xfId="3" applyNumberFormat="1" applyProtection="1">
      <alignment vertical="center"/>
      <protection hidden="1"/>
    </xf>
    <xf numFmtId="49" fontId="24" fillId="0" borderId="0" xfId="3" applyNumberFormat="1" applyAlignment="1" applyProtection="1">
      <alignment horizontal="center" vertical="center"/>
      <protection hidden="1"/>
    </xf>
    <xf numFmtId="49" fontId="24" fillId="0" borderId="1" xfId="3" applyNumberFormat="1" applyBorder="1" applyAlignment="1" applyProtection="1">
      <alignment horizontal="center" vertical="center"/>
      <protection hidden="1"/>
    </xf>
    <xf numFmtId="49" fontId="24" fillId="0" borderId="1" xfId="3" applyNumberFormat="1" applyBorder="1" applyProtection="1">
      <alignment vertical="center"/>
      <protection hidden="1"/>
    </xf>
    <xf numFmtId="49" fontId="24" fillId="0" borderId="9" xfId="3" applyNumberFormat="1" applyBorder="1" applyAlignment="1" applyProtection="1">
      <alignment horizontal="center" vertical="center"/>
      <protection hidden="1"/>
    </xf>
    <xf numFmtId="49" fontId="24" fillId="0" borderId="8" xfId="3" applyNumberFormat="1" applyBorder="1" applyAlignment="1" applyProtection="1">
      <alignment horizontal="center" vertical="center"/>
      <protection hidden="1"/>
    </xf>
    <xf numFmtId="49" fontId="24" fillId="0" borderId="24" xfId="3" applyNumberFormat="1" applyBorder="1" applyAlignment="1" applyProtection="1">
      <alignment horizontal="center" vertical="center"/>
      <protection hidden="1"/>
    </xf>
    <xf numFmtId="49" fontId="24" fillId="0" borderId="25" xfId="3" applyNumberFormat="1" applyBorder="1" applyAlignment="1" applyProtection="1">
      <alignment horizontal="center" vertical="center"/>
      <protection hidden="1"/>
    </xf>
    <xf numFmtId="49" fontId="24" fillId="0" borderId="5" xfId="3" applyNumberFormat="1" applyBorder="1" applyAlignment="1" applyProtection="1">
      <alignment horizontal="center" vertical="center"/>
      <protection hidden="1"/>
    </xf>
    <xf numFmtId="49" fontId="24" fillId="0" borderId="7" xfId="3" applyNumberFormat="1" applyBorder="1" applyAlignment="1" applyProtection="1">
      <alignment horizontal="center" vertical="center"/>
      <protection hidden="1"/>
    </xf>
    <xf numFmtId="49" fontId="24" fillId="0" borderId="19" xfId="3" applyNumberFormat="1" applyBorder="1" applyAlignment="1" applyProtection="1">
      <alignment horizontal="center" vertical="center"/>
      <protection hidden="1"/>
    </xf>
    <xf numFmtId="49" fontId="24" fillId="0" borderId="4" xfId="3" applyNumberFormat="1" applyBorder="1" applyAlignment="1" applyProtection="1">
      <alignment horizontal="center" vertical="center"/>
      <protection hidden="1"/>
    </xf>
    <xf numFmtId="49" fontId="36" fillId="0" borderId="0" xfId="2" applyNumberFormat="1" applyAlignment="1" applyProtection="1">
      <protection hidden="1"/>
    </xf>
    <xf numFmtId="49" fontId="36" fillId="0" borderId="0" xfId="2" applyNumberFormat="1" applyAlignment="1" applyProtection="1">
      <alignment horizontal="center"/>
      <protection hidden="1"/>
    </xf>
    <xf numFmtId="49" fontId="21" fillId="0" borderId="0" xfId="2" applyNumberFormat="1" applyFont="1" applyAlignment="1" applyProtection="1">
      <protection hidden="1"/>
    </xf>
    <xf numFmtId="49" fontId="27" fillId="0" borderId="0" xfId="2" applyNumberFormat="1" applyFont="1" applyAlignment="1" applyProtection="1">
      <protection hidden="1"/>
    </xf>
    <xf numFmtId="0" fontId="24" fillId="0" borderId="0" xfId="3" applyProtection="1">
      <alignment vertical="center"/>
      <protection hidden="1"/>
    </xf>
    <xf numFmtId="0" fontId="24" fillId="0" borderId="1" xfId="3" applyBorder="1" applyAlignment="1" applyProtection="1">
      <protection hidden="1"/>
    </xf>
    <xf numFmtId="0" fontId="22" fillId="0" borderId="1" xfId="3" applyFont="1" applyBorder="1" applyAlignment="1" applyProtection="1">
      <alignment horizontal="center"/>
      <protection hidden="1"/>
    </xf>
    <xf numFmtId="177" fontId="22" fillId="0" borderId="1" xfId="3" applyNumberFormat="1" applyFont="1" applyBorder="1" applyAlignment="1" applyProtection="1">
      <alignment horizontal="center"/>
      <protection hidden="1"/>
    </xf>
    <xf numFmtId="179" fontId="22" fillId="0" borderId="1" xfId="3" applyNumberFormat="1" applyFont="1" applyBorder="1" applyAlignment="1" applyProtection="1">
      <alignment horizontal="center"/>
      <protection hidden="1"/>
    </xf>
    <xf numFmtId="181" fontId="23" fillId="0" borderId="1" xfId="3" applyNumberFormat="1" applyFont="1" applyBorder="1" applyAlignment="1" applyProtection="1">
      <alignment horizontal="center"/>
      <protection hidden="1"/>
    </xf>
    <xf numFmtId="181" fontId="22" fillId="0" borderId="1" xfId="3" applyNumberFormat="1" applyFont="1" applyBorder="1" applyAlignment="1" applyProtection="1">
      <alignment horizontal="center"/>
      <protection hidden="1"/>
    </xf>
    <xf numFmtId="179" fontId="23" fillId="0" borderId="1" xfId="3" applyNumberFormat="1" applyFont="1" applyBorder="1" applyAlignment="1" applyProtection="1">
      <alignment horizontal="center"/>
      <protection hidden="1"/>
    </xf>
    <xf numFmtId="182" fontId="22" fillId="0" borderId="1" xfId="3" applyNumberFormat="1" applyFont="1" applyBorder="1" applyAlignment="1" applyProtection="1">
      <alignment horizontal="center"/>
      <protection hidden="1"/>
    </xf>
    <xf numFmtId="180" fontId="22" fillId="0" borderId="1" xfId="3" applyNumberFormat="1" applyFont="1" applyBorder="1" applyAlignment="1" applyProtection="1">
      <alignment horizontal="center"/>
      <protection hidden="1"/>
    </xf>
    <xf numFmtId="0" fontId="28" fillId="0" borderId="26" xfId="3" applyFont="1" applyFill="1" applyBorder="1" applyAlignment="1" applyProtection="1">
      <alignment horizontal="center"/>
      <protection hidden="1"/>
    </xf>
    <xf numFmtId="0" fontId="28" fillId="0" borderId="26" xfId="3" applyFont="1" applyBorder="1" applyAlignment="1" applyProtection="1">
      <alignment horizontal="center"/>
      <protection hidden="1"/>
    </xf>
    <xf numFmtId="0" fontId="22" fillId="0" borderId="26" xfId="3" applyFont="1" applyBorder="1" applyAlignment="1" applyProtection="1">
      <alignment horizontal="center"/>
      <protection hidden="1"/>
    </xf>
    <xf numFmtId="0" fontId="25" fillId="0" borderId="1" xfId="3" applyFont="1" applyBorder="1" applyAlignment="1" applyProtection="1">
      <alignment horizontal="center"/>
      <protection hidden="1"/>
    </xf>
    <xf numFmtId="0" fontId="28" fillId="0" borderId="1" xfId="3" applyFont="1" applyBorder="1" applyAlignment="1" applyProtection="1">
      <alignment horizontal="center"/>
      <protection hidden="1"/>
    </xf>
    <xf numFmtId="0" fontId="30" fillId="3" borderId="8" xfId="0" applyFont="1" applyFill="1" applyBorder="1" applyProtection="1">
      <alignment vertical="center"/>
      <protection hidden="1"/>
    </xf>
    <xf numFmtId="0" fontId="4" fillId="3" borderId="16" xfId="0" applyFont="1" applyFill="1" applyBorder="1" applyProtection="1">
      <alignment vertical="center"/>
      <protection hidden="1"/>
    </xf>
    <xf numFmtId="177" fontId="20" fillId="2" borderId="15" xfId="0" applyNumberFormat="1" applyFont="1" applyFill="1" applyBorder="1" applyAlignment="1" applyProtection="1">
      <alignment horizontal="center"/>
      <protection locked="0"/>
    </xf>
    <xf numFmtId="178" fontId="6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left" vertical="center"/>
      <protection hidden="1"/>
    </xf>
    <xf numFmtId="0" fontId="3" fillId="2" borderId="27" xfId="0" applyFont="1" applyFill="1" applyBorder="1" applyAlignment="1" applyProtection="1">
      <alignment horizontal="left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11" fillId="2" borderId="19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1" fillId="2" borderId="34" xfId="0" applyFont="1" applyFill="1" applyBorder="1" applyAlignment="1" applyProtection="1">
      <alignment horizontal="left" vertical="center"/>
      <protection hidden="1"/>
    </xf>
    <xf numFmtId="0" fontId="3" fillId="2" borderId="36" xfId="0" applyFont="1" applyFill="1" applyBorder="1" applyAlignment="1" applyProtection="1">
      <alignment horizontal="left" vertical="center"/>
      <protection hidden="1"/>
    </xf>
    <xf numFmtId="0" fontId="3" fillId="2" borderId="37" xfId="0" applyFont="1" applyFill="1" applyBorder="1" applyAlignment="1" applyProtection="1">
      <alignment horizontal="left" vertical="center"/>
      <protection hidden="1"/>
    </xf>
    <xf numFmtId="0" fontId="3" fillId="2" borderId="38" xfId="0" applyFont="1" applyFill="1" applyBorder="1" applyAlignment="1" applyProtection="1">
      <alignment horizontal="left" vertical="center"/>
      <protection hidden="1"/>
    </xf>
    <xf numFmtId="0" fontId="3" fillId="3" borderId="32" xfId="0" applyFont="1" applyFill="1" applyBorder="1" applyAlignment="1" applyProtection="1">
      <alignment horizontal="left" vertical="center"/>
      <protection hidden="1"/>
    </xf>
    <xf numFmtId="0" fontId="3" fillId="3" borderId="33" xfId="0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/>
      <protection hidden="1"/>
    </xf>
    <xf numFmtId="0" fontId="11" fillId="2" borderId="28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39" xfId="0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Alignment="1" applyProtection="1">
      <alignment horizontal="center" vertical="center"/>
      <protection hidden="1"/>
    </xf>
    <xf numFmtId="0" fontId="34" fillId="2" borderId="7" xfId="0" applyFont="1" applyFill="1" applyBorder="1" applyProtection="1">
      <alignment vertical="center"/>
      <protection hidden="1"/>
    </xf>
    <xf numFmtId="0" fontId="34" fillId="2" borderId="1" xfId="0" applyFont="1" applyFill="1" applyBorder="1" applyProtection="1">
      <alignment vertical="center"/>
      <protection hidden="1"/>
    </xf>
    <xf numFmtId="0" fontId="33" fillId="3" borderId="41" xfId="0" applyFont="1" applyFill="1" applyBorder="1" applyProtection="1">
      <alignment vertical="center"/>
      <protection hidden="1"/>
    </xf>
    <xf numFmtId="178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hidden="1"/>
    </xf>
    <xf numFmtId="0" fontId="0" fillId="3" borderId="42" xfId="0" applyFill="1" applyBorder="1" applyProtection="1">
      <alignment vertical="center"/>
      <protection hidden="1"/>
    </xf>
    <xf numFmtId="178" fontId="6" fillId="3" borderId="15" xfId="0" applyNumberFormat="1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30" fillId="4" borderId="7" xfId="0" applyFont="1" applyFill="1" applyBorder="1" applyProtection="1">
      <alignment vertical="center"/>
      <protection hidden="1"/>
    </xf>
    <xf numFmtId="176" fontId="6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left"/>
      <protection hidden="1"/>
    </xf>
    <xf numFmtId="0" fontId="32" fillId="4" borderId="1" xfId="0" applyFont="1" applyFill="1" applyBorder="1" applyProtection="1">
      <alignment vertical="center"/>
      <protection hidden="1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alignment vertical="center"/>
      <protection hidden="1"/>
    </xf>
    <xf numFmtId="0" fontId="0" fillId="4" borderId="8" xfId="0" applyFill="1" applyBorder="1" applyProtection="1">
      <alignment vertical="center"/>
      <protection hidden="1"/>
    </xf>
    <xf numFmtId="0" fontId="19" fillId="4" borderId="2" xfId="0" applyFont="1" applyFill="1" applyBorder="1" applyAlignment="1" applyProtection="1">
      <alignment horizontal="left"/>
      <protection hidden="1"/>
    </xf>
    <xf numFmtId="177" fontId="38" fillId="2" borderId="1" xfId="0" applyNumberFormat="1" applyFont="1" applyFill="1" applyBorder="1" applyAlignment="1" applyProtection="1">
      <alignment horizontal="center" vertical="center"/>
      <protection hidden="1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Protection="1">
      <alignment vertical="center"/>
      <protection hidden="1"/>
    </xf>
    <xf numFmtId="0" fontId="11" fillId="3" borderId="7" xfId="0" applyFont="1" applyFill="1" applyBorder="1" applyProtection="1">
      <alignment vertical="center"/>
      <protection hidden="1"/>
    </xf>
    <xf numFmtId="0" fontId="11" fillId="2" borderId="7" xfId="0" applyFont="1" applyFill="1" applyBorder="1" applyProtection="1">
      <alignment vertical="center"/>
      <protection hidden="1"/>
    </xf>
    <xf numFmtId="179" fontId="6" fillId="2" borderId="1" xfId="0" applyNumberFormat="1" applyFont="1" applyFill="1" applyBorder="1" applyAlignment="1" applyProtection="1">
      <alignment horizontal="center" vertical="center"/>
      <protection hidden="1"/>
    </xf>
    <xf numFmtId="176" fontId="37" fillId="4" borderId="1" xfId="0" applyNumberFormat="1" applyFont="1" applyFill="1" applyBorder="1" applyAlignment="1" applyProtection="1">
      <alignment horizontal="center" vertical="center"/>
      <protection hidden="1"/>
    </xf>
    <xf numFmtId="176" fontId="38" fillId="4" borderId="1" xfId="0" applyNumberFormat="1" applyFont="1" applyFill="1" applyBorder="1" applyAlignment="1" applyProtection="1">
      <alignment horizontal="center" vertical="center"/>
      <protection locked="0"/>
    </xf>
    <xf numFmtId="177" fontId="37" fillId="2" borderId="2" xfId="0" applyNumberFormat="1" applyFont="1" applyFill="1" applyBorder="1" applyAlignment="1" applyProtection="1">
      <alignment horizontal="center" vertical="center"/>
      <protection hidden="1"/>
    </xf>
    <xf numFmtId="0" fontId="38" fillId="2" borderId="2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1" fillId="0" borderId="0" xfId="0" applyFont="1" applyProtection="1">
      <alignment vertical="center"/>
      <protection hidden="1"/>
    </xf>
    <xf numFmtId="0" fontId="39" fillId="0" borderId="0" xfId="0" applyFont="1" applyProtection="1">
      <alignment vertical="center"/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39" fillId="0" borderId="0" xfId="0" applyFont="1">
      <alignment vertical="center"/>
    </xf>
    <xf numFmtId="0" fontId="39" fillId="0" borderId="0" xfId="0" applyFont="1" applyFill="1" applyAlignment="1" applyProtection="1">
      <alignment horizontal="center" vertical="center"/>
      <protection hidden="1"/>
    </xf>
    <xf numFmtId="0" fontId="39" fillId="0" borderId="11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" fillId="3" borderId="21" xfId="0" applyFont="1" applyFill="1" applyBorder="1" applyAlignment="1" applyProtection="1">
      <alignment horizontal="left" vertical="center"/>
      <protection hidden="1"/>
    </xf>
    <xf numFmtId="0" fontId="3" fillId="3" borderId="22" xfId="0" applyFont="1" applyFill="1" applyBorder="1" applyAlignment="1" applyProtection="1">
      <alignment horizontal="left" vertical="center"/>
      <protection hidden="1"/>
    </xf>
    <xf numFmtId="0" fontId="11" fillId="4" borderId="19" xfId="0" applyFont="1" applyFill="1" applyBorder="1" applyAlignment="1" applyProtection="1">
      <alignment horizontal="left" vertical="center"/>
      <protection hidden="1"/>
    </xf>
    <xf numFmtId="0" fontId="30" fillId="4" borderId="27" xfId="0" applyFont="1" applyFill="1" applyBorder="1" applyAlignment="1" applyProtection="1">
      <alignment horizontal="left" vertical="center"/>
      <protection hidden="1"/>
    </xf>
    <xf numFmtId="0" fontId="30" fillId="4" borderId="28" xfId="0" applyFont="1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8" fillId="0" borderId="20" xfId="0" applyFont="1" applyFill="1" applyBorder="1" applyAlignment="1" applyProtection="1">
      <alignment horizontal="right"/>
      <protection hidden="1"/>
    </xf>
    <xf numFmtId="0" fontId="8" fillId="0" borderId="21" xfId="0" applyFont="1" applyFill="1" applyBorder="1" applyAlignment="1" applyProtection="1">
      <alignment horizontal="right"/>
      <protection hidden="1"/>
    </xf>
    <xf numFmtId="0" fontId="8" fillId="0" borderId="22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12" xfId="0" applyFont="1" applyFill="1" applyBorder="1" applyAlignment="1" applyProtection="1">
      <alignment horizontal="right" vertic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3" fillId="3" borderId="45" xfId="0" applyFont="1" applyFill="1" applyBorder="1" applyAlignment="1" applyProtection="1">
      <alignment horizontal="left" vertical="center"/>
      <protection hidden="1"/>
    </xf>
    <xf numFmtId="0" fontId="3" fillId="3" borderId="46" xfId="0" applyFont="1" applyFill="1" applyBorder="1" applyAlignment="1" applyProtection="1">
      <alignment horizontal="left" vertical="center"/>
      <protection hidden="1"/>
    </xf>
    <xf numFmtId="0" fontId="3" fillId="3" borderId="47" xfId="0" applyFont="1" applyFill="1" applyBorder="1" applyAlignment="1" applyProtection="1">
      <alignment horizontal="left" vertical="center"/>
      <protection hidden="1"/>
    </xf>
    <xf numFmtId="0" fontId="3" fillId="3" borderId="48" xfId="0" applyFont="1" applyFill="1" applyBorder="1" applyAlignment="1" applyProtection="1">
      <alignment horizontal="left" vertical="center"/>
      <protection hidden="1"/>
    </xf>
    <xf numFmtId="0" fontId="11" fillId="0" borderId="52" xfId="0" applyFont="1" applyFill="1" applyBorder="1" applyAlignment="1" applyProtection="1">
      <protection hidden="1"/>
    </xf>
    <xf numFmtId="0" fontId="0" fillId="0" borderId="49" xfId="0" applyFill="1" applyBorder="1" applyAlignment="1" applyProtection="1">
      <protection hidden="1"/>
    </xf>
    <xf numFmtId="0" fontId="0" fillId="0" borderId="50" xfId="0" applyFill="1" applyBorder="1" applyAlignment="1" applyProtection="1">
      <protection hidden="1"/>
    </xf>
    <xf numFmtId="0" fontId="0" fillId="0" borderId="43" xfId="0" applyFill="1" applyBorder="1" applyAlignment="1" applyProtection="1">
      <protection hidden="1"/>
    </xf>
    <xf numFmtId="0" fontId="0" fillId="0" borderId="14" xfId="0" applyFill="1" applyBorder="1" applyAlignment="1" applyProtection="1">
      <protection hidden="1"/>
    </xf>
    <xf numFmtId="0" fontId="0" fillId="0" borderId="44" xfId="0" applyFill="1" applyBorder="1" applyAlignment="1" applyProtection="1">
      <protection hidden="1"/>
    </xf>
    <xf numFmtId="49" fontId="24" fillId="0" borderId="48" xfId="3" applyNumberFormat="1" applyBorder="1" applyAlignment="1" applyProtection="1">
      <alignment horizontal="center" vertical="center"/>
      <protection hidden="1"/>
    </xf>
    <xf numFmtId="49" fontId="24" fillId="0" borderId="47" xfId="3" applyNumberFormat="1" applyBorder="1" applyAlignment="1" applyProtection="1">
      <alignment horizontal="center" vertical="center"/>
      <protection hidden="1"/>
    </xf>
    <xf numFmtId="49" fontId="24" fillId="0" borderId="45" xfId="3" applyNumberFormat="1" applyBorder="1" applyAlignment="1" applyProtection="1">
      <alignment horizontal="center" vertical="center"/>
      <protection hidden="1"/>
    </xf>
    <xf numFmtId="49" fontId="24" fillId="0" borderId="51" xfId="3" applyNumberFormat="1" applyBorder="1" applyAlignment="1" applyProtection="1">
      <alignment horizontal="center" vertical="center"/>
      <protection hidden="1"/>
    </xf>
    <xf numFmtId="0" fontId="28" fillId="0" borderId="1" xfId="3" applyFont="1" applyBorder="1" applyAlignment="1" applyProtection="1">
      <alignment horizontal="center"/>
      <protection hidden="1"/>
    </xf>
    <xf numFmtId="0" fontId="22" fillId="0" borderId="1" xfId="3" applyFont="1" applyBorder="1" applyAlignment="1" applyProtection="1">
      <alignment horizontal="center"/>
      <protection hidden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  <colors>
    <mruColors>
      <color rgb="FF122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42</xdr:row>
          <xdr:rowOff>38100</xdr:rowOff>
        </xdr:from>
        <xdr:to>
          <xdr:col>3</xdr:col>
          <xdr:colOff>38100</xdr:colOff>
          <xdr:row>54</xdr:row>
          <xdr:rowOff>200025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42</xdr:row>
          <xdr:rowOff>38100</xdr:rowOff>
        </xdr:from>
        <xdr:to>
          <xdr:col>6</xdr:col>
          <xdr:colOff>504825</xdr:colOff>
          <xdr:row>54</xdr:row>
          <xdr:rowOff>200025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74"/>
  <sheetViews>
    <sheetView windowProtection="1" tabSelected="1" zoomScaleNormal="100" zoomScaleSheetLayoutView="100" workbookViewId="0">
      <selection activeCell="J13" sqref="J13"/>
    </sheetView>
  </sheetViews>
  <sheetFormatPr defaultColWidth="9" defaultRowHeight="20.100000000000001" customHeight="1" x14ac:dyDescent="0.3"/>
  <cols>
    <col min="1" max="1" width="32" style="12" customWidth="1"/>
    <col min="2" max="2" width="18.625" style="2" customWidth="1"/>
    <col min="3" max="3" width="7.25" style="41" customWidth="1"/>
    <col min="4" max="4" width="5.625" style="12" customWidth="1"/>
    <col min="5" max="5" width="34.625" style="12" customWidth="1"/>
    <col min="6" max="6" width="18.625" style="2" customWidth="1"/>
    <col min="7" max="7" width="7.125" style="42" customWidth="1"/>
    <col min="8" max="8" width="10.375" style="171" customWidth="1"/>
    <col min="9" max="9" width="12.25" style="169" customWidth="1"/>
    <col min="10" max="10" width="4.75" style="172" customWidth="1"/>
    <col min="11" max="11" width="20.625" style="171" customWidth="1"/>
    <col min="12" max="12" width="10.625" style="169" customWidth="1"/>
    <col min="13" max="13" width="10.625" style="170" customWidth="1"/>
    <col min="14" max="17" width="10.625" style="171" customWidth="1"/>
    <col min="18" max="18" width="17.375" style="171" customWidth="1"/>
    <col min="19" max="28" width="10.625" style="171" customWidth="1"/>
    <col min="29" max="35" width="9" style="171"/>
    <col min="36" max="16384" width="9" style="12"/>
  </cols>
  <sheetData>
    <row r="1" spans="1:26" ht="26.25" thickBot="1" x14ac:dyDescent="0.35">
      <c r="A1" s="189" t="s">
        <v>249</v>
      </c>
      <c r="B1" s="190"/>
      <c r="C1" s="190"/>
      <c r="D1" s="190"/>
      <c r="E1" s="190"/>
      <c r="F1" s="190"/>
      <c r="G1" s="191"/>
      <c r="H1" s="176" t="s">
        <v>240</v>
      </c>
      <c r="I1" s="177"/>
      <c r="J1" s="177"/>
      <c r="K1" s="175" t="s">
        <v>241</v>
      </c>
    </row>
    <row r="2" spans="1:26" ht="9.9499999999999993" customHeight="1" thickBot="1" x14ac:dyDescent="0.2">
      <c r="A2" s="192"/>
      <c r="B2" s="193"/>
      <c r="C2" s="193"/>
      <c r="D2" s="193"/>
      <c r="E2" s="193"/>
      <c r="F2" s="193"/>
      <c r="G2" s="194"/>
    </row>
    <row r="3" spans="1:26" ht="20.100000000000001" customHeight="1" x14ac:dyDescent="0.15">
      <c r="A3" s="202" t="s">
        <v>250</v>
      </c>
      <c r="B3" s="203"/>
      <c r="C3" s="203"/>
      <c r="D3" s="203"/>
      <c r="E3" s="203"/>
      <c r="F3" s="203"/>
      <c r="G3" s="204"/>
    </row>
    <row r="4" spans="1:26" ht="20.100000000000001" customHeight="1" thickBot="1" x14ac:dyDescent="0.2">
      <c r="A4" s="205" t="s">
        <v>32</v>
      </c>
      <c r="B4" s="206"/>
      <c r="C4" s="206"/>
      <c r="D4" s="206"/>
      <c r="E4" s="206"/>
      <c r="F4" s="206"/>
      <c r="G4" s="207"/>
    </row>
    <row r="5" spans="1:26" ht="9.9499999999999993" customHeight="1" thickBot="1" x14ac:dyDescent="0.2">
      <c r="A5" s="195"/>
      <c r="B5" s="196"/>
      <c r="C5" s="196"/>
      <c r="D5" s="196"/>
      <c r="E5" s="196"/>
      <c r="F5" s="196"/>
      <c r="G5" s="197"/>
    </row>
    <row r="6" spans="1:26" ht="20.100000000000001" customHeight="1" x14ac:dyDescent="0.15">
      <c r="A6" s="198" t="s">
        <v>1</v>
      </c>
      <c r="B6" s="199"/>
      <c r="C6" s="200"/>
      <c r="D6" s="14"/>
      <c r="E6" s="201" t="s">
        <v>0</v>
      </c>
      <c r="F6" s="199"/>
      <c r="G6" s="200"/>
      <c r="H6" s="173"/>
      <c r="I6" s="173"/>
      <c r="J6" s="173"/>
      <c r="L6" s="171"/>
      <c r="M6" s="171"/>
    </row>
    <row r="7" spans="1:26" ht="20.100000000000001" customHeight="1" x14ac:dyDescent="0.3">
      <c r="A7" s="15" t="s">
        <v>4</v>
      </c>
      <c r="B7" s="43">
        <v>60</v>
      </c>
      <c r="C7" s="16" t="s">
        <v>10</v>
      </c>
      <c r="D7" s="17"/>
      <c r="E7" s="18" t="s">
        <v>3</v>
      </c>
      <c r="F7" s="44">
        <v>100</v>
      </c>
      <c r="G7" s="19" t="s">
        <v>11</v>
      </c>
      <c r="J7" s="170"/>
      <c r="L7" s="171"/>
      <c r="M7" s="171"/>
    </row>
    <row r="8" spans="1:26" ht="20.100000000000001" customHeight="1" x14ac:dyDescent="0.3">
      <c r="A8" s="15" t="s">
        <v>5</v>
      </c>
      <c r="B8" s="44">
        <v>150</v>
      </c>
      <c r="C8" s="16" t="s">
        <v>13</v>
      </c>
      <c r="D8" s="17"/>
      <c r="E8" s="18" t="s">
        <v>2</v>
      </c>
      <c r="F8" s="44">
        <v>264</v>
      </c>
      <c r="G8" s="19" t="s">
        <v>11</v>
      </c>
      <c r="J8" s="170"/>
      <c r="L8" s="171"/>
      <c r="M8" s="171"/>
    </row>
    <row r="9" spans="1:26" ht="20.100000000000001" customHeight="1" x14ac:dyDescent="0.3">
      <c r="A9" s="15" t="s">
        <v>6</v>
      </c>
      <c r="B9" s="44">
        <v>1</v>
      </c>
      <c r="C9" s="16" t="s">
        <v>18</v>
      </c>
      <c r="D9" s="17"/>
      <c r="E9" s="18" t="s">
        <v>34</v>
      </c>
      <c r="F9" s="44">
        <v>50</v>
      </c>
      <c r="G9" s="19" t="s">
        <v>12</v>
      </c>
      <c r="J9" s="170"/>
      <c r="L9" s="171"/>
      <c r="M9" s="171"/>
    </row>
    <row r="10" spans="1:26" ht="20.100000000000001" customHeight="1" x14ac:dyDescent="0.3">
      <c r="A10" s="15" t="s">
        <v>7</v>
      </c>
      <c r="B10" s="44">
        <v>1</v>
      </c>
      <c r="C10" s="16" t="s">
        <v>18</v>
      </c>
      <c r="D10" s="17"/>
      <c r="E10" s="71" t="s">
        <v>53</v>
      </c>
      <c r="F10" s="43">
        <v>10</v>
      </c>
      <c r="G10" s="19" t="s">
        <v>54</v>
      </c>
      <c r="J10" s="170"/>
      <c r="L10" s="171"/>
      <c r="M10" s="171" t="s">
        <v>205</v>
      </c>
      <c r="N10" s="171" t="s">
        <v>206</v>
      </c>
      <c r="O10" s="171" t="s">
        <v>207</v>
      </c>
      <c r="P10" s="171" t="s">
        <v>208</v>
      </c>
      <c r="Q10" s="171" t="s">
        <v>209</v>
      </c>
      <c r="R10" s="171" t="s">
        <v>210</v>
      </c>
      <c r="S10" s="171" t="s">
        <v>211</v>
      </c>
      <c r="T10" s="171" t="s">
        <v>212</v>
      </c>
      <c r="U10" s="171" t="s">
        <v>213</v>
      </c>
      <c r="V10" s="171" t="s">
        <v>209</v>
      </c>
      <c r="W10" s="171" t="s">
        <v>214</v>
      </c>
      <c r="X10" s="171" t="s">
        <v>216</v>
      </c>
      <c r="Y10" s="171" t="s">
        <v>209</v>
      </c>
      <c r="Z10" s="171" t="s">
        <v>215</v>
      </c>
    </row>
    <row r="11" spans="1:26" ht="20.100000000000001" customHeight="1" x14ac:dyDescent="0.3">
      <c r="A11" s="15" t="s">
        <v>8</v>
      </c>
      <c r="B11" s="8">
        <f>B9*B7</f>
        <v>60</v>
      </c>
      <c r="C11" s="20" t="s">
        <v>10</v>
      </c>
      <c r="D11" s="17"/>
      <c r="E11" s="18"/>
      <c r="F11" s="43"/>
      <c r="G11" s="19"/>
      <c r="J11" s="170"/>
      <c r="L11" s="171"/>
      <c r="R11" s="171">
        <f>SUM(Q12:Q194)</f>
        <v>118.628393911758</v>
      </c>
      <c r="S11" s="171">
        <f>(Vacmin-Vout-Vdf)*Iout*2*PI()/R11/1000</f>
        <v>0.64131430439386805</v>
      </c>
      <c r="W11" s="171">
        <f>SQRT(SUM(V12:V194)/PI())</f>
        <v>0.15538202854342292</v>
      </c>
      <c r="Z11" s="171">
        <f>SQRT(SUM(Y12:Y194)/PI())</f>
        <v>0.22545285425913997</v>
      </c>
    </row>
    <row r="12" spans="1:26" ht="20.100000000000001" customHeight="1" x14ac:dyDescent="0.3">
      <c r="A12" s="15" t="s">
        <v>9</v>
      </c>
      <c r="B12" s="9">
        <f>B8</f>
        <v>150</v>
      </c>
      <c r="C12" s="20" t="s">
        <v>13</v>
      </c>
      <c r="D12" s="17"/>
      <c r="E12" s="162" t="s">
        <v>50</v>
      </c>
      <c r="F12" s="7">
        <f>SQRT(2)*F7</f>
        <v>141.42135623730951</v>
      </c>
      <c r="G12" s="19" t="s">
        <v>52</v>
      </c>
      <c r="J12" s="170"/>
      <c r="L12" s="171"/>
      <c r="M12" s="171">
        <v>0</v>
      </c>
      <c r="N12" s="171">
        <v>0</v>
      </c>
      <c r="O12" s="171">
        <v>1</v>
      </c>
      <c r="P12" s="171">
        <f t="shared" ref="P12:P43" si="0">(Vacmin*SIN(N12)-(Vout+Vdf))*(Vacmin*SIN(N12)-(Vout+Vdf)&gt;0)</f>
        <v>0</v>
      </c>
      <c r="Q12" s="171">
        <f t="shared" ref="Q12:Q39" si="1">(P12+P13)*PI()/180/2</f>
        <v>0</v>
      </c>
      <c r="T12" s="171">
        <f>P12*Iout/1000*2*PI()/integral</f>
        <v>0</v>
      </c>
      <c r="U12" s="171">
        <f>T12^2*O12/3</f>
        <v>0</v>
      </c>
      <c r="V12" s="171">
        <f t="shared" ref="V12:V77" si="2">(U12+U13)*PI()/180/2</f>
        <v>0</v>
      </c>
      <c r="X12" s="171">
        <f>T12^2/3</f>
        <v>0</v>
      </c>
      <c r="Y12" s="171">
        <f>(X12+X13)*PI()/180/2</f>
        <v>0</v>
      </c>
    </row>
    <row r="13" spans="1:26" ht="20.100000000000001" customHeight="1" x14ac:dyDescent="0.3">
      <c r="A13" s="15" t="s">
        <v>15</v>
      </c>
      <c r="B13" s="7">
        <f>B12*B11/1000</f>
        <v>9</v>
      </c>
      <c r="C13" s="20" t="s">
        <v>16</v>
      </c>
      <c r="D13" s="17"/>
      <c r="E13" s="71" t="s">
        <v>51</v>
      </c>
      <c r="F13" s="7">
        <f>SQRT(2)*F8</f>
        <v>373.3523804664971</v>
      </c>
      <c r="G13" s="19" t="s">
        <v>40</v>
      </c>
      <c r="J13" s="170"/>
      <c r="L13" s="171"/>
      <c r="M13" s="171">
        <v>1</v>
      </c>
      <c r="N13" s="171">
        <f>PI()/180*M13</f>
        <v>1.7453292519943295E-2</v>
      </c>
      <c r="O13" s="171">
        <f t="shared" ref="O13:O44" si="3">IF((Vout+Vdf)/Vacmin/SIN(N13)&gt;1,1,(Vout+Vdf)/Vacmin/SIN(N13))</f>
        <v>1</v>
      </c>
      <c r="P13" s="171">
        <f t="shared" si="0"/>
        <v>0</v>
      </c>
      <c r="Q13" s="171">
        <f t="shared" si="1"/>
        <v>0</v>
      </c>
      <c r="T13" s="171">
        <f t="shared" ref="T13:T43" si="4">P13*Iout/1000*2*PI()/integral</f>
        <v>0</v>
      </c>
      <c r="U13" s="171">
        <f t="shared" ref="U13:U78" si="5">T13^2*O13/3</f>
        <v>0</v>
      </c>
      <c r="V13" s="171">
        <f t="shared" si="2"/>
        <v>0</v>
      </c>
      <c r="X13" s="171">
        <f t="shared" ref="X13:X78" si="6">T13^2/3</f>
        <v>0</v>
      </c>
      <c r="Y13" s="171">
        <f t="shared" ref="Y13:Y78" si="7">(X13+X14)*PI()/180/2</f>
        <v>0</v>
      </c>
    </row>
    <row r="14" spans="1:26" ht="20.100000000000001" customHeight="1" x14ac:dyDescent="0.3">
      <c r="A14" s="18" t="s">
        <v>31</v>
      </c>
      <c r="B14" s="45">
        <v>90</v>
      </c>
      <c r="C14" s="20" t="s">
        <v>36</v>
      </c>
      <c r="D14" s="17"/>
      <c r="E14" s="162" t="s">
        <v>231</v>
      </c>
      <c r="F14" s="45">
        <v>50</v>
      </c>
      <c r="G14" s="19" t="s">
        <v>14</v>
      </c>
      <c r="J14" s="170"/>
      <c r="L14" s="171"/>
      <c r="M14" s="171">
        <v>2</v>
      </c>
      <c r="N14" s="171">
        <f t="shared" ref="N14:N79" si="8">PI()/180*M14</f>
        <v>3.4906585039886591E-2</v>
      </c>
      <c r="O14" s="171">
        <f t="shared" si="3"/>
        <v>1</v>
      </c>
      <c r="P14" s="171">
        <f t="shared" si="0"/>
        <v>0</v>
      </c>
      <c r="Q14" s="171">
        <f t="shared" si="1"/>
        <v>0</v>
      </c>
      <c r="T14" s="171">
        <f t="shared" si="4"/>
        <v>0</v>
      </c>
      <c r="U14" s="171">
        <f t="shared" si="5"/>
        <v>0</v>
      </c>
      <c r="V14" s="171">
        <f t="shared" si="2"/>
        <v>0</v>
      </c>
      <c r="X14" s="171">
        <f t="shared" si="6"/>
        <v>0</v>
      </c>
      <c r="Y14" s="171">
        <f t="shared" si="7"/>
        <v>0</v>
      </c>
    </row>
    <row r="15" spans="1:26" ht="20.100000000000001" customHeight="1" thickBot="1" x14ac:dyDescent="0.35">
      <c r="A15" s="21" t="s">
        <v>35</v>
      </c>
      <c r="B15" s="10">
        <f>B13/B14*100</f>
        <v>10</v>
      </c>
      <c r="C15" s="22" t="s">
        <v>16</v>
      </c>
      <c r="D15" s="23"/>
      <c r="E15" s="103"/>
      <c r="F15" s="24"/>
      <c r="G15" s="25"/>
      <c r="I15" s="169">
        <f>(Vacmin-Vout-Vdf)*(Vout+Vdf)/Vacmin/F14/1000/B19*1000*1000</f>
        <v>1.0250439030976295</v>
      </c>
      <c r="J15" s="170"/>
      <c r="L15" s="171"/>
      <c r="M15" s="171">
        <v>3</v>
      </c>
      <c r="N15" s="171">
        <f t="shared" si="8"/>
        <v>5.235987755982989E-2</v>
      </c>
      <c r="O15" s="171">
        <f t="shared" si="3"/>
        <v>1</v>
      </c>
      <c r="P15" s="171">
        <f t="shared" si="0"/>
        <v>0</v>
      </c>
      <c r="Q15" s="171">
        <f t="shared" si="1"/>
        <v>0</v>
      </c>
      <c r="T15" s="171">
        <f t="shared" si="4"/>
        <v>0</v>
      </c>
      <c r="U15" s="171">
        <f t="shared" si="5"/>
        <v>0</v>
      </c>
      <c r="V15" s="171">
        <f t="shared" si="2"/>
        <v>0</v>
      </c>
      <c r="X15" s="171">
        <f t="shared" si="6"/>
        <v>0</v>
      </c>
      <c r="Y15" s="171">
        <f t="shared" si="7"/>
        <v>0</v>
      </c>
    </row>
    <row r="16" spans="1:26" ht="20.100000000000001" customHeight="1" thickBot="1" x14ac:dyDescent="0.35">
      <c r="A16" s="26"/>
      <c r="B16" s="1"/>
      <c r="C16" s="27"/>
      <c r="D16" s="28"/>
      <c r="E16" s="28"/>
      <c r="F16" s="1"/>
      <c r="G16" s="29"/>
      <c r="K16" s="171" t="s">
        <v>242</v>
      </c>
      <c r="M16" s="171">
        <v>4</v>
      </c>
      <c r="N16" s="171">
        <f t="shared" si="8"/>
        <v>6.9813170079773182E-2</v>
      </c>
      <c r="O16" s="171">
        <f t="shared" si="3"/>
        <v>1</v>
      </c>
      <c r="P16" s="171">
        <f t="shared" si="0"/>
        <v>0</v>
      </c>
      <c r="Q16" s="171">
        <f t="shared" si="1"/>
        <v>0</v>
      </c>
      <c r="T16" s="171">
        <f t="shared" si="4"/>
        <v>0</v>
      </c>
      <c r="U16" s="171">
        <f t="shared" si="5"/>
        <v>0</v>
      </c>
      <c r="V16" s="171">
        <f t="shared" si="2"/>
        <v>0</v>
      </c>
      <c r="X16" s="171">
        <f t="shared" si="6"/>
        <v>0</v>
      </c>
      <c r="Y16" s="171">
        <f t="shared" si="7"/>
        <v>0</v>
      </c>
    </row>
    <row r="17" spans="1:25" ht="20.100000000000001" customHeight="1" thickBot="1" x14ac:dyDescent="0.2">
      <c r="A17" s="178" t="s">
        <v>228</v>
      </c>
      <c r="B17" s="178"/>
      <c r="C17" s="178"/>
      <c r="D17" s="178"/>
      <c r="E17" s="178"/>
      <c r="F17" s="178"/>
      <c r="G17" s="179"/>
      <c r="M17" s="171">
        <v>5</v>
      </c>
      <c r="N17" s="171">
        <f t="shared" si="8"/>
        <v>8.7266462599716474E-2</v>
      </c>
      <c r="O17" s="171">
        <f t="shared" si="3"/>
        <v>1</v>
      </c>
      <c r="P17" s="171">
        <f t="shared" si="0"/>
        <v>0</v>
      </c>
      <c r="Q17" s="171">
        <f t="shared" si="1"/>
        <v>0</v>
      </c>
      <c r="T17" s="171">
        <f t="shared" si="4"/>
        <v>0</v>
      </c>
      <c r="U17" s="171">
        <f t="shared" si="5"/>
        <v>0</v>
      </c>
      <c r="V17" s="171">
        <f t="shared" si="2"/>
        <v>0</v>
      </c>
      <c r="X17" s="171">
        <f t="shared" si="6"/>
        <v>0</v>
      </c>
      <c r="Y17" s="171">
        <f t="shared" si="7"/>
        <v>0</v>
      </c>
    </row>
    <row r="18" spans="1:25" ht="20.100000000000001" customHeight="1" x14ac:dyDescent="0.15">
      <c r="A18" s="161" t="s">
        <v>230</v>
      </c>
      <c r="B18" s="146">
        <v>0.7</v>
      </c>
      <c r="C18" s="147" t="s">
        <v>10</v>
      </c>
      <c r="D18" s="17"/>
      <c r="E18" s="148" t="s">
        <v>30</v>
      </c>
      <c r="F18" s="149">
        <f>(Vout+Vdf)/Vacmin*100</f>
        <v>42.921381618023432</v>
      </c>
      <c r="G18" s="104" t="s">
        <v>36</v>
      </c>
      <c r="J18" s="170"/>
      <c r="L18" s="171"/>
      <c r="M18" s="171">
        <v>6</v>
      </c>
      <c r="N18" s="171">
        <f t="shared" si="8"/>
        <v>0.10471975511965978</v>
      </c>
      <c r="O18" s="171">
        <f t="shared" si="3"/>
        <v>1</v>
      </c>
      <c r="P18" s="171">
        <f t="shared" si="0"/>
        <v>0</v>
      </c>
      <c r="Q18" s="171">
        <f t="shared" si="1"/>
        <v>0</v>
      </c>
      <c r="T18" s="171">
        <f t="shared" si="4"/>
        <v>0</v>
      </c>
      <c r="U18" s="171">
        <f t="shared" si="5"/>
        <v>0</v>
      </c>
      <c r="V18" s="171">
        <f t="shared" si="2"/>
        <v>0</v>
      </c>
      <c r="X18" s="171">
        <f t="shared" si="6"/>
        <v>0</v>
      </c>
      <c r="Y18" s="171">
        <f t="shared" si="7"/>
        <v>0</v>
      </c>
    </row>
    <row r="19" spans="1:25" ht="20.100000000000001" customHeight="1" x14ac:dyDescent="0.3">
      <c r="A19" s="18" t="s">
        <v>226</v>
      </c>
      <c r="B19" s="9">
        <f>S11*1000/SQRT(B14/100)</f>
        <v>676.00463264371763</v>
      </c>
      <c r="C19" s="19" t="s">
        <v>37</v>
      </c>
      <c r="D19" s="17"/>
      <c r="E19" s="18" t="s">
        <v>227</v>
      </c>
      <c r="F19" s="9">
        <f>Z11/SQRT(B14/100)*1000</f>
        <v>237.64817481495859</v>
      </c>
      <c r="G19" s="19" t="s">
        <v>38</v>
      </c>
      <c r="J19" s="170"/>
      <c r="L19" s="171"/>
      <c r="M19" s="171">
        <v>7</v>
      </c>
      <c r="N19" s="171">
        <f t="shared" si="8"/>
        <v>0.12217304763960307</v>
      </c>
      <c r="O19" s="171">
        <f t="shared" si="3"/>
        <v>1</v>
      </c>
      <c r="P19" s="171">
        <f t="shared" si="0"/>
        <v>0</v>
      </c>
      <c r="Q19" s="171">
        <f t="shared" si="1"/>
        <v>0</v>
      </c>
      <c r="T19" s="171">
        <f t="shared" si="4"/>
        <v>0</v>
      </c>
      <c r="U19" s="171">
        <f t="shared" si="5"/>
        <v>0</v>
      </c>
      <c r="V19" s="171">
        <f t="shared" si="2"/>
        <v>0</v>
      </c>
      <c r="X19" s="171">
        <f t="shared" si="6"/>
        <v>0</v>
      </c>
      <c r="Y19" s="171">
        <f t="shared" si="7"/>
        <v>0</v>
      </c>
    </row>
    <row r="20" spans="1:25" ht="20.100000000000001" customHeight="1" thickBot="1" x14ac:dyDescent="0.2">
      <c r="A20" s="21" t="s">
        <v>217</v>
      </c>
      <c r="B20" s="10">
        <f>W11/SQRT(B14/100)*1000</f>
        <v>163.78703921817058</v>
      </c>
      <c r="C20" s="22" t="s">
        <v>13</v>
      </c>
      <c r="D20" s="23"/>
      <c r="E20" s="145" t="s">
        <v>200</v>
      </c>
      <c r="F20" s="146">
        <v>100</v>
      </c>
      <c r="G20" s="147" t="s">
        <v>201</v>
      </c>
      <c r="J20" s="170"/>
      <c r="L20" s="171"/>
      <c r="M20" s="171">
        <v>8</v>
      </c>
      <c r="N20" s="171">
        <f t="shared" si="8"/>
        <v>0.13962634015954636</v>
      </c>
      <c r="O20" s="171">
        <f t="shared" si="3"/>
        <v>1</v>
      </c>
      <c r="P20" s="171">
        <f t="shared" si="0"/>
        <v>0</v>
      </c>
      <c r="Q20" s="171">
        <f t="shared" si="1"/>
        <v>0</v>
      </c>
      <c r="T20" s="171">
        <f t="shared" si="4"/>
        <v>0</v>
      </c>
      <c r="U20" s="171">
        <f t="shared" si="5"/>
        <v>0</v>
      </c>
      <c r="V20" s="171">
        <f t="shared" si="2"/>
        <v>0</v>
      </c>
      <c r="X20" s="171">
        <f t="shared" si="6"/>
        <v>0</v>
      </c>
      <c r="Y20" s="171">
        <f t="shared" si="7"/>
        <v>0</v>
      </c>
    </row>
    <row r="21" spans="1:25" ht="20.100000000000001" customHeight="1" thickBot="1" x14ac:dyDescent="0.35">
      <c r="A21" s="26"/>
      <c r="B21" s="1"/>
      <c r="C21" s="27"/>
      <c r="D21" s="28"/>
      <c r="E21" s="28"/>
      <c r="F21" s="1"/>
      <c r="G21" s="29"/>
      <c r="J21" s="170"/>
      <c r="L21" s="171"/>
      <c r="M21" s="171">
        <v>9</v>
      </c>
      <c r="N21" s="171">
        <f t="shared" si="8"/>
        <v>0.15707963267948966</v>
      </c>
      <c r="O21" s="171">
        <f t="shared" si="3"/>
        <v>1</v>
      </c>
      <c r="P21" s="171">
        <f t="shared" si="0"/>
        <v>0</v>
      </c>
      <c r="Q21" s="171">
        <f t="shared" si="1"/>
        <v>0</v>
      </c>
      <c r="T21" s="171">
        <f t="shared" si="4"/>
        <v>0</v>
      </c>
      <c r="U21" s="171">
        <f t="shared" si="5"/>
        <v>0</v>
      </c>
      <c r="V21" s="171">
        <f t="shared" si="2"/>
        <v>0</v>
      </c>
      <c r="X21" s="171">
        <f t="shared" si="6"/>
        <v>0</v>
      </c>
      <c r="Y21" s="171">
        <f t="shared" si="7"/>
        <v>0</v>
      </c>
    </row>
    <row r="22" spans="1:25" ht="20.100000000000001" customHeight="1" x14ac:dyDescent="0.15">
      <c r="A22" s="132" t="s">
        <v>22</v>
      </c>
      <c r="B22" s="133"/>
      <c r="C22" s="133"/>
      <c r="D22" s="133"/>
      <c r="E22" s="133"/>
      <c r="F22" s="133"/>
      <c r="G22" s="134"/>
      <c r="J22" s="170"/>
      <c r="L22" s="171"/>
      <c r="M22" s="171">
        <v>10</v>
      </c>
      <c r="N22" s="171">
        <f t="shared" si="8"/>
        <v>0.17453292519943295</v>
      </c>
      <c r="O22" s="171">
        <f t="shared" si="3"/>
        <v>1</v>
      </c>
      <c r="P22" s="171">
        <f t="shared" si="0"/>
        <v>0</v>
      </c>
      <c r="Q22" s="171">
        <f t="shared" si="1"/>
        <v>0</v>
      </c>
      <c r="T22" s="171">
        <f t="shared" si="4"/>
        <v>0</v>
      </c>
      <c r="U22" s="171">
        <f t="shared" si="5"/>
        <v>0</v>
      </c>
      <c r="V22" s="171">
        <f t="shared" si="2"/>
        <v>0</v>
      </c>
      <c r="X22" s="171">
        <f t="shared" si="6"/>
        <v>0</v>
      </c>
      <c r="Y22" s="171">
        <f t="shared" si="7"/>
        <v>0</v>
      </c>
    </row>
    <row r="23" spans="1:25" ht="20.100000000000001" customHeight="1" x14ac:dyDescent="0.3">
      <c r="A23" s="163" t="s">
        <v>235</v>
      </c>
      <c r="B23" s="46">
        <v>0.27</v>
      </c>
      <c r="C23" s="31" t="s">
        <v>33</v>
      </c>
      <c r="D23" s="49"/>
      <c r="E23" s="144" t="s">
        <v>223</v>
      </c>
      <c r="F23" s="48">
        <v>8</v>
      </c>
      <c r="G23" s="32" t="s">
        <v>39</v>
      </c>
      <c r="J23" s="170"/>
      <c r="L23" s="171"/>
      <c r="M23" s="171">
        <v>11</v>
      </c>
      <c r="N23" s="171">
        <f t="shared" si="8"/>
        <v>0.19198621771937624</v>
      </c>
      <c r="O23" s="171">
        <f t="shared" si="3"/>
        <v>1</v>
      </c>
      <c r="P23" s="171">
        <f t="shared" si="0"/>
        <v>0</v>
      </c>
      <c r="Q23" s="171">
        <f t="shared" si="1"/>
        <v>0</v>
      </c>
      <c r="T23" s="171">
        <f t="shared" si="4"/>
        <v>0</v>
      </c>
      <c r="U23" s="171">
        <f t="shared" si="5"/>
        <v>0</v>
      </c>
      <c r="V23" s="171">
        <f t="shared" si="2"/>
        <v>0</v>
      </c>
      <c r="X23" s="171">
        <f t="shared" si="6"/>
        <v>0</v>
      </c>
      <c r="Y23" s="171">
        <f t="shared" si="7"/>
        <v>0</v>
      </c>
    </row>
    <row r="24" spans="1:25" ht="18.75" customHeight="1" x14ac:dyDescent="0.3">
      <c r="A24" s="143" t="s">
        <v>219</v>
      </c>
      <c r="B24" s="164">
        <f>IF(F14&lt;75,I15,"错误！")</f>
        <v>1.0250439030976295</v>
      </c>
      <c r="C24" s="31" t="s">
        <v>17</v>
      </c>
      <c r="D24" s="50"/>
      <c r="E24" s="54" t="s">
        <v>220</v>
      </c>
      <c r="F24" s="46">
        <v>1.2</v>
      </c>
      <c r="G24" s="32" t="s">
        <v>17</v>
      </c>
      <c r="M24" s="171">
        <v>12</v>
      </c>
      <c r="N24" s="171">
        <f t="shared" si="8"/>
        <v>0.20943951023931956</v>
      </c>
      <c r="O24" s="171">
        <f t="shared" si="3"/>
        <v>1</v>
      </c>
      <c r="P24" s="171">
        <f t="shared" si="0"/>
        <v>0</v>
      </c>
      <c r="Q24" s="171">
        <f t="shared" si="1"/>
        <v>0</v>
      </c>
      <c r="T24" s="171">
        <f t="shared" si="4"/>
        <v>0</v>
      </c>
      <c r="U24" s="171">
        <f t="shared" si="5"/>
        <v>0</v>
      </c>
      <c r="V24" s="171">
        <f t="shared" si="2"/>
        <v>0</v>
      </c>
      <c r="X24" s="171">
        <f t="shared" si="6"/>
        <v>0</v>
      </c>
      <c r="Y24" s="171">
        <f t="shared" si="7"/>
        <v>0</v>
      </c>
    </row>
    <row r="25" spans="1:25" ht="20.100000000000001" customHeight="1" x14ac:dyDescent="0.3">
      <c r="A25" s="163" t="s">
        <v>232</v>
      </c>
      <c r="B25" s="13" t="s">
        <v>248</v>
      </c>
      <c r="C25" s="31"/>
      <c r="D25" s="50"/>
      <c r="E25" s="54" t="s">
        <v>233</v>
      </c>
      <c r="F25" s="47">
        <v>0.18</v>
      </c>
      <c r="G25" s="32" t="s">
        <v>236</v>
      </c>
      <c r="M25" s="171">
        <v>13</v>
      </c>
      <c r="N25" s="171">
        <f t="shared" si="8"/>
        <v>0.22689280275926285</v>
      </c>
      <c r="O25" s="171">
        <f t="shared" si="3"/>
        <v>1</v>
      </c>
      <c r="P25" s="171">
        <f t="shared" si="0"/>
        <v>0</v>
      </c>
      <c r="Q25" s="171">
        <f t="shared" si="1"/>
        <v>0</v>
      </c>
      <c r="T25" s="171">
        <f t="shared" si="4"/>
        <v>0</v>
      </c>
      <c r="U25" s="171">
        <f t="shared" si="5"/>
        <v>0</v>
      </c>
      <c r="V25" s="171">
        <f t="shared" si="2"/>
        <v>0</v>
      </c>
      <c r="X25" s="171">
        <f t="shared" si="6"/>
        <v>0</v>
      </c>
      <c r="Y25" s="171">
        <f t="shared" si="7"/>
        <v>0</v>
      </c>
    </row>
    <row r="26" spans="1:25" ht="20.100000000000001" customHeight="1" x14ac:dyDescent="0.3">
      <c r="A26" s="163" t="s">
        <v>234</v>
      </c>
      <c r="B26" s="4">
        <f>ROUND(Lreal/1000*B19/1000/F25/B23*10000,0)</f>
        <v>167</v>
      </c>
      <c r="C26" s="31" t="s">
        <v>19</v>
      </c>
      <c r="D26" s="50"/>
      <c r="E26" s="54" t="s">
        <v>225</v>
      </c>
      <c r="F26" s="3">
        <f>1.13*SQRT(F19*0.001/F23)</f>
        <v>0.1947604151326767</v>
      </c>
      <c r="G26" s="32" t="s">
        <v>20</v>
      </c>
      <c r="H26" s="171" t="s">
        <v>244</v>
      </c>
      <c r="J26" s="169"/>
      <c r="M26" s="171">
        <v>14</v>
      </c>
      <c r="N26" s="171">
        <f t="shared" si="8"/>
        <v>0.24434609527920614</v>
      </c>
      <c r="O26" s="171">
        <f t="shared" si="3"/>
        <v>1</v>
      </c>
      <c r="P26" s="171">
        <f t="shared" si="0"/>
        <v>0</v>
      </c>
      <c r="Q26" s="171">
        <f t="shared" si="1"/>
        <v>0</v>
      </c>
      <c r="T26" s="171">
        <f t="shared" si="4"/>
        <v>0</v>
      </c>
      <c r="U26" s="171">
        <f t="shared" si="5"/>
        <v>0</v>
      </c>
      <c r="V26" s="171">
        <f t="shared" si="2"/>
        <v>0</v>
      </c>
      <c r="X26" s="171">
        <f t="shared" si="6"/>
        <v>0</v>
      </c>
      <c r="Y26" s="171">
        <f t="shared" si="7"/>
        <v>0</v>
      </c>
    </row>
    <row r="27" spans="1:25" ht="20.100000000000001" customHeight="1" x14ac:dyDescent="0.3">
      <c r="A27" s="163" t="s">
        <v>237</v>
      </c>
      <c r="B27" s="160">
        <v>150</v>
      </c>
      <c r="C27" s="31" t="s">
        <v>19</v>
      </c>
      <c r="D27" s="50"/>
      <c r="E27" s="144" t="s">
        <v>221</v>
      </c>
      <c r="F27" s="3">
        <f>Lreal/100*B19/F25/1/B27</f>
        <v>0.30044650339720791</v>
      </c>
      <c r="G27" s="32" t="s">
        <v>33</v>
      </c>
      <c r="H27" s="171" t="s">
        <v>244</v>
      </c>
      <c r="M27" s="171">
        <v>15</v>
      </c>
      <c r="N27" s="171">
        <f t="shared" si="8"/>
        <v>0.26179938779914941</v>
      </c>
      <c r="O27" s="171">
        <f t="shared" si="3"/>
        <v>1</v>
      </c>
      <c r="P27" s="171">
        <f t="shared" si="0"/>
        <v>0</v>
      </c>
      <c r="Q27" s="171">
        <f t="shared" si="1"/>
        <v>0</v>
      </c>
      <c r="T27" s="171">
        <f t="shared" si="4"/>
        <v>0</v>
      </c>
      <c r="U27" s="171">
        <f t="shared" si="5"/>
        <v>0</v>
      </c>
      <c r="V27" s="171">
        <f t="shared" si="2"/>
        <v>0</v>
      </c>
      <c r="X27" s="171">
        <f t="shared" si="6"/>
        <v>0</v>
      </c>
      <c r="Y27" s="171">
        <f t="shared" si="7"/>
        <v>0</v>
      </c>
    </row>
    <row r="28" spans="1:25" ht="20.100000000000001" hidden="1" customHeight="1" x14ac:dyDescent="0.3">
      <c r="A28" s="30" t="s">
        <v>224</v>
      </c>
      <c r="B28" s="4">
        <f>INT((14+0.7)*B27/(Vout+Vdf))</f>
        <v>36</v>
      </c>
      <c r="C28" s="31" t="s">
        <v>19</v>
      </c>
      <c r="D28" s="50"/>
      <c r="E28" s="144" t="s">
        <v>21</v>
      </c>
      <c r="F28" s="3">
        <v>0.1</v>
      </c>
      <c r="G28" s="32" t="s">
        <v>20</v>
      </c>
      <c r="M28" s="171">
        <v>16</v>
      </c>
      <c r="N28" s="171">
        <f t="shared" si="8"/>
        <v>0.27925268031909273</v>
      </c>
      <c r="O28" s="171">
        <f t="shared" si="3"/>
        <v>1</v>
      </c>
      <c r="P28" s="171">
        <f t="shared" si="0"/>
        <v>0</v>
      </c>
      <c r="Q28" s="171">
        <f t="shared" si="1"/>
        <v>0</v>
      </c>
      <c r="T28" s="171">
        <f t="shared" si="4"/>
        <v>0</v>
      </c>
      <c r="U28" s="171">
        <f t="shared" si="5"/>
        <v>0</v>
      </c>
      <c r="V28" s="171">
        <f t="shared" si="2"/>
        <v>0</v>
      </c>
      <c r="X28" s="171">
        <f t="shared" si="6"/>
        <v>0</v>
      </c>
      <c r="Y28" s="171">
        <f t="shared" si="7"/>
        <v>0</v>
      </c>
    </row>
    <row r="29" spans="1:25" ht="20.100000000000001" customHeight="1" x14ac:dyDescent="0.3">
      <c r="A29" s="143" t="s">
        <v>222</v>
      </c>
      <c r="B29" s="159">
        <f>(Vout+Vdf)/Vacmin*integral/Lreal/Iout/2/PI()*1000</f>
        <v>45.020464381353257</v>
      </c>
      <c r="C29" s="31" t="s">
        <v>191</v>
      </c>
      <c r="D29" s="50"/>
      <c r="E29" s="54" t="s">
        <v>246</v>
      </c>
      <c r="F29" s="3">
        <f>Vout/B30</f>
        <v>4.615384615384615</v>
      </c>
      <c r="G29" s="32"/>
      <c r="M29" s="171">
        <v>17</v>
      </c>
      <c r="N29" s="171">
        <f t="shared" si="8"/>
        <v>0.29670597283903605</v>
      </c>
      <c r="O29" s="171">
        <f t="shared" si="3"/>
        <v>1</v>
      </c>
      <c r="P29" s="171">
        <f t="shared" si="0"/>
        <v>0</v>
      </c>
      <c r="Q29" s="171">
        <f t="shared" si="1"/>
        <v>0</v>
      </c>
      <c r="T29" s="171">
        <f t="shared" si="4"/>
        <v>0</v>
      </c>
      <c r="U29" s="171">
        <f t="shared" si="5"/>
        <v>0</v>
      </c>
      <c r="V29" s="171">
        <f t="shared" si="2"/>
        <v>0</v>
      </c>
      <c r="X29" s="171">
        <f t="shared" si="6"/>
        <v>0</v>
      </c>
      <c r="Y29" s="171">
        <f t="shared" si="7"/>
        <v>0</v>
      </c>
    </row>
    <row r="30" spans="1:25" ht="20.100000000000001" customHeight="1" thickBot="1" x14ac:dyDescent="0.35">
      <c r="A30" s="64" t="s">
        <v>245</v>
      </c>
      <c r="B30" s="167">
        <v>13</v>
      </c>
      <c r="C30" s="33" t="s">
        <v>239</v>
      </c>
      <c r="D30" s="53"/>
      <c r="E30" s="64" t="s">
        <v>247</v>
      </c>
      <c r="F30" s="5">
        <f>B27/F29</f>
        <v>32.5</v>
      </c>
      <c r="G30" s="39" t="s">
        <v>238</v>
      </c>
      <c r="M30" s="171">
        <v>18</v>
      </c>
      <c r="N30" s="171">
        <f t="shared" si="8"/>
        <v>0.31415926535897931</v>
      </c>
      <c r="O30" s="171">
        <f t="shared" si="3"/>
        <v>1</v>
      </c>
      <c r="P30" s="171">
        <f t="shared" si="0"/>
        <v>0</v>
      </c>
      <c r="Q30" s="171">
        <f t="shared" si="1"/>
        <v>0</v>
      </c>
      <c r="T30" s="171">
        <f>P30*Iout/1000*2*PI()/integral</f>
        <v>0</v>
      </c>
      <c r="U30" s="171">
        <f t="shared" si="5"/>
        <v>0</v>
      </c>
      <c r="V30" s="171">
        <f t="shared" si="2"/>
        <v>0</v>
      </c>
      <c r="X30" s="171">
        <f t="shared" si="6"/>
        <v>0</v>
      </c>
      <c r="Y30" s="171">
        <f t="shared" si="7"/>
        <v>0</v>
      </c>
    </row>
    <row r="31" spans="1:25" ht="20.100000000000001" customHeight="1" thickBot="1" x14ac:dyDescent="0.2">
      <c r="A31" s="186" t="s">
        <v>42</v>
      </c>
      <c r="B31" s="187"/>
      <c r="C31" s="187"/>
      <c r="D31" s="187"/>
      <c r="E31" s="187"/>
      <c r="F31" s="187"/>
      <c r="G31" s="188"/>
      <c r="M31" s="171">
        <v>19</v>
      </c>
      <c r="N31" s="171">
        <f t="shared" si="8"/>
        <v>0.33161255787892263</v>
      </c>
      <c r="O31" s="171">
        <f t="shared" si="3"/>
        <v>1</v>
      </c>
      <c r="P31" s="171">
        <f t="shared" si="0"/>
        <v>0</v>
      </c>
      <c r="Q31" s="171">
        <f t="shared" si="1"/>
        <v>0</v>
      </c>
      <c r="T31" s="171">
        <f t="shared" si="4"/>
        <v>0</v>
      </c>
      <c r="U31" s="171">
        <f t="shared" si="5"/>
        <v>0</v>
      </c>
      <c r="V31" s="171">
        <f t="shared" si="2"/>
        <v>0</v>
      </c>
      <c r="X31" s="171">
        <f t="shared" si="6"/>
        <v>0</v>
      </c>
      <c r="Y31" s="171">
        <f t="shared" si="7"/>
        <v>0</v>
      </c>
    </row>
    <row r="32" spans="1:25" ht="20.100000000000001" customHeight="1" x14ac:dyDescent="0.3">
      <c r="A32" s="57" t="s">
        <v>44</v>
      </c>
      <c r="B32" s="62">
        <v>8.4</v>
      </c>
      <c r="C32" s="150" t="s">
        <v>20</v>
      </c>
      <c r="D32" s="50"/>
      <c r="E32" s="38"/>
      <c r="F32" s="52"/>
      <c r="G32" s="39"/>
      <c r="M32" s="171">
        <v>20</v>
      </c>
      <c r="N32" s="171">
        <f t="shared" si="8"/>
        <v>0.3490658503988659</v>
      </c>
      <c r="O32" s="171">
        <f t="shared" si="3"/>
        <v>1</v>
      </c>
      <c r="P32" s="171">
        <f t="shared" si="0"/>
        <v>0</v>
      </c>
      <c r="Q32" s="171">
        <f t="shared" si="1"/>
        <v>0</v>
      </c>
      <c r="T32" s="171">
        <f t="shared" si="4"/>
        <v>0</v>
      </c>
      <c r="U32" s="171">
        <f t="shared" si="5"/>
        <v>0</v>
      </c>
      <c r="V32" s="171">
        <f t="shared" si="2"/>
        <v>0</v>
      </c>
      <c r="X32" s="171">
        <f t="shared" si="6"/>
        <v>0</v>
      </c>
      <c r="Y32" s="171">
        <f t="shared" si="7"/>
        <v>0</v>
      </c>
    </row>
    <row r="33" spans="1:25" ht="20.100000000000001" customHeight="1" x14ac:dyDescent="0.3">
      <c r="A33" s="54" t="s">
        <v>45</v>
      </c>
      <c r="B33" s="63">
        <v>2.8</v>
      </c>
      <c r="C33" s="31" t="s">
        <v>20</v>
      </c>
      <c r="D33" s="50"/>
      <c r="E33" s="38"/>
      <c r="F33" s="52"/>
      <c r="G33" s="70"/>
      <c r="M33" s="171">
        <v>21</v>
      </c>
      <c r="N33" s="171">
        <f t="shared" si="8"/>
        <v>0.36651914291880922</v>
      </c>
      <c r="O33" s="171">
        <f t="shared" si="3"/>
        <v>1</v>
      </c>
      <c r="P33" s="171">
        <f t="shared" si="0"/>
        <v>0</v>
      </c>
      <c r="Q33" s="171">
        <f t="shared" si="1"/>
        <v>0</v>
      </c>
      <c r="T33" s="171">
        <f t="shared" si="4"/>
        <v>0</v>
      </c>
      <c r="U33" s="171">
        <f t="shared" si="5"/>
        <v>0</v>
      </c>
      <c r="V33" s="171">
        <f t="shared" si="2"/>
        <v>0</v>
      </c>
      <c r="X33" s="171">
        <f t="shared" si="6"/>
        <v>0</v>
      </c>
      <c r="Y33" s="171">
        <f t="shared" si="7"/>
        <v>0</v>
      </c>
    </row>
    <row r="34" spans="1:25" ht="20.100000000000001" customHeight="1" x14ac:dyDescent="0.15">
      <c r="A34" s="128" t="s">
        <v>46</v>
      </c>
      <c r="B34" s="129"/>
      <c r="C34" s="130"/>
      <c r="D34" s="60"/>
      <c r="E34" s="59" t="s">
        <v>47</v>
      </c>
      <c r="F34" s="128" t="s">
        <v>41</v>
      </c>
      <c r="G34" s="138"/>
      <c r="M34" s="171">
        <v>22</v>
      </c>
      <c r="N34" s="171">
        <f t="shared" si="8"/>
        <v>0.38397243543875248</v>
      </c>
      <c r="O34" s="171">
        <f t="shared" si="3"/>
        <v>1</v>
      </c>
      <c r="P34" s="171">
        <f t="shared" si="0"/>
        <v>0</v>
      </c>
      <c r="Q34" s="171">
        <f t="shared" si="1"/>
        <v>0</v>
      </c>
      <c r="T34" s="171">
        <f t="shared" si="4"/>
        <v>0</v>
      </c>
      <c r="U34" s="171">
        <f t="shared" si="5"/>
        <v>0</v>
      </c>
      <c r="V34" s="171">
        <f t="shared" si="2"/>
        <v>0</v>
      </c>
      <c r="X34" s="171">
        <f t="shared" si="6"/>
        <v>0</v>
      </c>
      <c r="Y34" s="171">
        <f t="shared" si="7"/>
        <v>0</v>
      </c>
    </row>
    <row r="35" spans="1:25" ht="20.100000000000001" customHeight="1" x14ac:dyDescent="0.3">
      <c r="A35" s="139" t="s">
        <v>218</v>
      </c>
      <c r="B35" s="61">
        <v>0.22</v>
      </c>
      <c r="C35" s="58" t="s">
        <v>20</v>
      </c>
      <c r="D35" s="51"/>
      <c r="E35" s="11">
        <f>ROUND(B27,0)/INT(B32/B35/B36)</f>
        <v>3.9473684210526314</v>
      </c>
      <c r="F35" s="55">
        <f>CEILING(E35,1)*B35</f>
        <v>0.88</v>
      </c>
      <c r="G35" s="56" t="s">
        <v>20</v>
      </c>
      <c r="M35" s="171">
        <v>23</v>
      </c>
      <c r="N35" s="171">
        <f t="shared" si="8"/>
        <v>0.4014257279586958</v>
      </c>
      <c r="O35" s="171">
        <f t="shared" si="3"/>
        <v>1</v>
      </c>
      <c r="P35" s="171">
        <f t="shared" si="0"/>
        <v>0</v>
      </c>
      <c r="Q35" s="171">
        <f t="shared" si="1"/>
        <v>0</v>
      </c>
      <c r="T35" s="171">
        <f t="shared" si="4"/>
        <v>0</v>
      </c>
      <c r="U35" s="171">
        <f t="shared" si="5"/>
        <v>0</v>
      </c>
      <c r="V35" s="171">
        <f t="shared" si="2"/>
        <v>0</v>
      </c>
      <c r="X35" s="171">
        <f t="shared" si="6"/>
        <v>0</v>
      </c>
      <c r="Y35" s="171">
        <f t="shared" si="7"/>
        <v>0</v>
      </c>
    </row>
    <row r="36" spans="1:25" ht="20.100000000000001" customHeight="1" x14ac:dyDescent="0.3">
      <c r="A36" s="57" t="s">
        <v>192</v>
      </c>
      <c r="B36" s="105">
        <v>1</v>
      </c>
      <c r="C36" s="58" t="s">
        <v>193</v>
      </c>
      <c r="D36" s="51"/>
      <c r="E36" s="59" t="s">
        <v>194</v>
      </c>
      <c r="F36" s="106">
        <f>4*F19/1000/B36/3.1415926/(B35-0.04)/(B35-0.04)</f>
        <v>9.3389833046311974</v>
      </c>
      <c r="G36" s="32" t="s">
        <v>195</v>
      </c>
      <c r="M36" s="171">
        <v>24</v>
      </c>
      <c r="N36" s="171">
        <f t="shared" si="8"/>
        <v>0.41887902047863912</v>
      </c>
      <c r="O36" s="171">
        <f t="shared" si="3"/>
        <v>1</v>
      </c>
      <c r="P36" s="171">
        <f t="shared" si="0"/>
        <v>0</v>
      </c>
      <c r="Q36" s="171">
        <f t="shared" si="1"/>
        <v>0</v>
      </c>
      <c r="T36" s="171">
        <f t="shared" si="4"/>
        <v>0</v>
      </c>
      <c r="U36" s="171">
        <f t="shared" si="5"/>
        <v>0</v>
      </c>
      <c r="V36" s="171">
        <f t="shared" si="2"/>
        <v>0</v>
      </c>
      <c r="X36" s="171">
        <f t="shared" si="6"/>
        <v>0</v>
      </c>
      <c r="Y36" s="171">
        <f t="shared" si="7"/>
        <v>0</v>
      </c>
    </row>
    <row r="37" spans="1:25" ht="20.100000000000001" customHeight="1" x14ac:dyDescent="0.3">
      <c r="A37" s="54" t="s">
        <v>43</v>
      </c>
      <c r="B37" s="61">
        <v>0.15</v>
      </c>
      <c r="C37" s="31" t="s">
        <v>20</v>
      </c>
      <c r="D37" s="105"/>
      <c r="E37" s="11">
        <f>ROUND(B28,0)/INT(B32/B37/B38)</f>
        <v>0.6428571428571429</v>
      </c>
      <c r="F37" s="55">
        <f>CEILING(E37,1)*B37</f>
        <v>0.15</v>
      </c>
      <c r="G37" s="32" t="s">
        <v>20</v>
      </c>
      <c r="M37" s="171">
        <v>25</v>
      </c>
      <c r="N37" s="171">
        <f t="shared" si="8"/>
        <v>0.43633231299858238</v>
      </c>
      <c r="O37" s="171">
        <f t="shared" si="3"/>
        <v>1</v>
      </c>
      <c r="P37" s="171">
        <f t="shared" si="0"/>
        <v>0</v>
      </c>
      <c r="Q37" s="171">
        <f t="shared" si="1"/>
        <v>1.1301374422528916E-2</v>
      </c>
      <c r="T37" s="171">
        <f t="shared" si="4"/>
        <v>0</v>
      </c>
      <c r="U37" s="171">
        <f t="shared" si="5"/>
        <v>0</v>
      </c>
      <c r="V37" s="171">
        <f t="shared" si="2"/>
        <v>3.0150226978715239E-7</v>
      </c>
      <c r="X37" s="171">
        <f t="shared" si="6"/>
        <v>0</v>
      </c>
      <c r="Y37" s="171">
        <f t="shared" si="7"/>
        <v>3.0793485853354581E-7</v>
      </c>
    </row>
    <row r="38" spans="1:25" ht="20.100000000000001" customHeight="1" x14ac:dyDescent="0.3">
      <c r="A38" s="57" t="s">
        <v>196</v>
      </c>
      <c r="B38" s="105">
        <v>1</v>
      </c>
      <c r="C38" s="58" t="s">
        <v>197</v>
      </c>
      <c r="D38" s="51"/>
      <c r="E38" s="59" t="s">
        <v>198</v>
      </c>
      <c r="F38" s="106">
        <f>4*10/1000/B38/3.1415926/(B37-0.02)/(B37-0.02)</f>
        <v>0.75339619316821782</v>
      </c>
      <c r="G38" s="32" t="s">
        <v>199</v>
      </c>
      <c r="M38" s="171">
        <v>26</v>
      </c>
      <c r="N38" s="171">
        <f t="shared" si="8"/>
        <v>0.4537856055185257</v>
      </c>
      <c r="O38" s="171">
        <f t="shared" si="3"/>
        <v>0.97911055352087506</v>
      </c>
      <c r="P38" s="171">
        <f t="shared" si="0"/>
        <v>1.2950421142160096</v>
      </c>
      <c r="Q38" s="171">
        <f t="shared" si="1"/>
        <v>4.1879125714144989E-2</v>
      </c>
      <c r="T38" s="171">
        <f t="shared" si="4"/>
        <v>1.0288838931268262E-2</v>
      </c>
      <c r="U38" s="171">
        <f t="shared" si="5"/>
        <v>3.4549615144837091E-5</v>
      </c>
      <c r="V38" s="171">
        <f t="shared" si="2"/>
        <v>2.4327520092270431E-6</v>
      </c>
      <c r="X38" s="171">
        <f t="shared" si="6"/>
        <v>3.5286735517860478E-5</v>
      </c>
      <c r="Y38" s="171">
        <f t="shared" si="7"/>
        <v>2.5622125583730039E-6</v>
      </c>
    </row>
    <row r="39" spans="1:25" ht="20.100000000000001" customHeight="1" x14ac:dyDescent="0.3">
      <c r="A39" s="54" t="s">
        <v>48</v>
      </c>
      <c r="B39" s="61">
        <v>0.4</v>
      </c>
      <c r="C39" s="31" t="s">
        <v>20</v>
      </c>
      <c r="D39" s="51"/>
      <c r="E39" s="11"/>
      <c r="F39" s="55"/>
      <c r="G39" s="32"/>
      <c r="M39" s="171">
        <v>27</v>
      </c>
      <c r="N39" s="171">
        <f t="shared" si="8"/>
        <v>0.47123889803846897</v>
      </c>
      <c r="O39" s="171">
        <f t="shared" si="3"/>
        <v>0.94542466511187628</v>
      </c>
      <c r="P39" s="171">
        <f t="shared" si="0"/>
        <v>3.5039521920206056</v>
      </c>
      <c r="Q39" s="171">
        <f t="shared" si="1"/>
        <v>8.0261211159108808E-2</v>
      </c>
      <c r="T39" s="171">
        <f t="shared" si="4"/>
        <v>2.7838167833166748E-2</v>
      </c>
      <c r="U39" s="171">
        <f t="shared" si="5"/>
        <v>2.4422323031652427E-4</v>
      </c>
      <c r="V39" s="171">
        <f t="shared" si="2"/>
        <v>7.572320735299509E-6</v>
      </c>
      <c r="X39" s="171">
        <f t="shared" si="6"/>
        <v>2.5832119610251996E-4</v>
      </c>
      <c r="Y39" s="171">
        <f t="shared" si="7"/>
        <v>8.2056893444789433E-6</v>
      </c>
    </row>
    <row r="40" spans="1:25" ht="20.100000000000001" customHeight="1" thickBot="1" x14ac:dyDescent="0.35">
      <c r="A40" s="64" t="s">
        <v>49</v>
      </c>
      <c r="B40" s="168">
        <f>IF((F35+F37+B39)&lt;B33,(F35+F37+B39),绕不下)</f>
        <v>1.4300000000000002</v>
      </c>
      <c r="C40" s="33" t="s">
        <v>20</v>
      </c>
      <c r="D40" s="53"/>
      <c r="E40" s="34"/>
      <c r="F40" s="5"/>
      <c r="G40" s="35"/>
      <c r="M40" s="171">
        <v>28</v>
      </c>
      <c r="N40" s="171">
        <f t="shared" si="8"/>
        <v>0.48869219055841229</v>
      </c>
      <c r="O40" s="171">
        <f t="shared" si="3"/>
        <v>0.91424880696338029</v>
      </c>
      <c r="P40" s="171">
        <f t="shared" si="0"/>
        <v>5.6933051240298767</v>
      </c>
      <c r="Q40" s="171">
        <f t="shared" ref="Q40:Q45" si="9">(P40+P41)*PI()/180/2</f>
        <v>0.11829614023373808</v>
      </c>
      <c r="T40" s="171">
        <f t="shared" si="4"/>
        <v>4.5232119299200735E-2</v>
      </c>
      <c r="U40" s="171">
        <f t="shared" si="5"/>
        <v>6.2350080818759988E-4</v>
      </c>
      <c r="V40" s="171">
        <f t="shared" si="2"/>
        <v>1.5489717345381064E-5</v>
      </c>
      <c r="X40" s="171">
        <f t="shared" si="6"/>
        <v>6.8198153876570914E-4</v>
      </c>
      <c r="Y40" s="171">
        <f t="shared" si="7"/>
        <v>1.7301653032618319E-5</v>
      </c>
    </row>
    <row r="41" spans="1:25" ht="20.100000000000001" customHeight="1" thickBot="1" x14ac:dyDescent="0.35">
      <c r="A41" s="65"/>
      <c r="B41" s="66"/>
      <c r="C41" s="67"/>
      <c r="D41" s="68"/>
      <c r="E41" s="68"/>
      <c r="F41" s="66"/>
      <c r="G41" s="69"/>
      <c r="M41" s="171">
        <v>29</v>
      </c>
      <c r="N41" s="171">
        <f t="shared" si="8"/>
        <v>0.50614548307835561</v>
      </c>
      <c r="O41" s="171">
        <f t="shared" si="3"/>
        <v>0.88532446192413861</v>
      </c>
      <c r="P41" s="171">
        <f t="shared" si="0"/>
        <v>7.8624340121319705</v>
      </c>
      <c r="Q41" s="171">
        <f t="shared" si="9"/>
        <v>0.15597232713018372</v>
      </c>
      <c r="T41" s="171">
        <f t="shared" si="4"/>
        <v>6.2465394963254491E-2</v>
      </c>
      <c r="U41" s="171">
        <f t="shared" si="5"/>
        <v>1.1514900512942406E-3</v>
      </c>
      <c r="V41" s="171">
        <f t="shared" si="2"/>
        <v>2.5843723607167248E-5</v>
      </c>
      <c r="X41" s="171">
        <f t="shared" si="6"/>
        <v>1.3006418559717932E-3</v>
      </c>
      <c r="Y41" s="171">
        <f t="shared" si="7"/>
        <v>2.9750251665156371E-5</v>
      </c>
    </row>
    <row r="42" spans="1:25" ht="20.100000000000001" customHeight="1" x14ac:dyDescent="0.15">
      <c r="A42" s="135" t="s">
        <v>253</v>
      </c>
      <c r="B42" s="136"/>
      <c r="C42" s="136"/>
      <c r="D42" s="136"/>
      <c r="E42" s="136" t="s">
        <v>251</v>
      </c>
      <c r="F42" s="137"/>
      <c r="G42" s="137"/>
      <c r="M42" s="171">
        <v>30</v>
      </c>
      <c r="N42" s="171">
        <f t="shared" si="8"/>
        <v>0.52359877559829882</v>
      </c>
      <c r="O42" s="171">
        <f t="shared" si="3"/>
        <v>0.85842763236046882</v>
      </c>
      <c r="P42" s="171">
        <f t="shared" si="0"/>
        <v>10.010678118654738</v>
      </c>
      <c r="Q42" s="171">
        <f t="shared" si="9"/>
        <v>0.19327829531693996</v>
      </c>
      <c r="T42" s="171">
        <f t="shared" si="4"/>
        <v>7.9532745402618149E-2</v>
      </c>
      <c r="U42" s="171">
        <f t="shared" si="5"/>
        <v>1.8099825278923504E-3</v>
      </c>
      <c r="V42" s="171">
        <f t="shared" si="2"/>
        <v>3.8336200102520776E-5</v>
      </c>
      <c r="X42" s="171">
        <f t="shared" si="6"/>
        <v>2.1084858637592263E-3</v>
      </c>
      <c r="Y42" s="171">
        <f t="shared" si="7"/>
        <v>4.544838588552563E-5</v>
      </c>
    </row>
    <row r="43" spans="1:25" ht="20.100000000000001" customHeight="1" x14ac:dyDescent="0.15">
      <c r="A43" s="110"/>
      <c r="B43" s="111"/>
      <c r="C43" s="111"/>
      <c r="D43" s="111"/>
      <c r="E43" s="111"/>
      <c r="F43" s="111"/>
      <c r="G43" s="112"/>
      <c r="M43" s="171">
        <v>31</v>
      </c>
      <c r="N43" s="171">
        <f t="shared" si="8"/>
        <v>0.54105206811824214</v>
      </c>
      <c r="O43" s="171">
        <f t="shared" si="3"/>
        <v>0.83336327368649765</v>
      </c>
      <c r="P43" s="171">
        <f t="shared" si="0"/>
        <v>12.137383067632868</v>
      </c>
      <c r="Q43" s="171">
        <f t="shared" si="9"/>
        <v>0.23020268103470609</v>
      </c>
      <c r="T43" s="171">
        <f t="shared" si="4"/>
        <v>9.6428971737013119E-2</v>
      </c>
      <c r="U43" s="171">
        <f t="shared" si="5"/>
        <v>2.5830224089945192E-3</v>
      </c>
      <c r="V43" s="171">
        <f t="shared" si="2"/>
        <v>5.2705265361338668E-5</v>
      </c>
      <c r="X43" s="171">
        <f t="shared" si="6"/>
        <v>3.099515530085892E-3</v>
      </c>
      <c r="Y43" s="171">
        <f t="shared" si="7"/>
        <v>6.4289861334049367E-5</v>
      </c>
    </row>
    <row r="44" spans="1:25" ht="9.9499999999999993" customHeight="1" x14ac:dyDescent="0.15">
      <c r="A44" s="113"/>
      <c r="B44" s="114"/>
      <c r="C44" s="114"/>
      <c r="D44" s="114"/>
      <c r="E44" s="114"/>
      <c r="F44" s="114"/>
      <c r="G44" s="115"/>
      <c r="M44" s="171">
        <v>32</v>
      </c>
      <c r="N44" s="171">
        <f t="shared" si="8"/>
        <v>0.55850536063818546</v>
      </c>
      <c r="O44" s="171">
        <f t="shared" si="3"/>
        <v>0.80996077166831881</v>
      </c>
      <c r="P44" s="171">
        <f t="shared" ref="P44:P77" si="10">(Vacmin*SIN(N44)-(Vout+Vdf))*(Vacmin*SIN(N44)-(Vout+Vdf)&gt;0)</f>
        <v>14.241901044137009</v>
      </c>
      <c r="Q44" s="171">
        <f t="shared" si="9"/>
        <v>0.26673423675789798</v>
      </c>
      <c r="T44" s="171">
        <f t="shared" ref="T44:T77" si="11">P44*Iout/1000*2*PI()/integral</f>
        <v>0.11314892721222017</v>
      </c>
      <c r="U44" s="171">
        <f t="shared" si="5"/>
        <v>3.4565561176489912E-3</v>
      </c>
      <c r="V44" s="171">
        <f t="shared" si="2"/>
        <v>6.8719737399602741E-5</v>
      </c>
      <c r="X44" s="171">
        <f t="shared" si="6"/>
        <v>4.2675599097587663E-3</v>
      </c>
      <c r="Y44" s="171">
        <f t="shared" si="7"/>
        <v>8.616554455135049E-5</v>
      </c>
    </row>
    <row r="45" spans="1:25" ht="20.100000000000001" customHeight="1" x14ac:dyDescent="0.15">
      <c r="A45" s="113"/>
      <c r="B45" s="114"/>
      <c r="C45" s="114"/>
      <c r="D45" s="114"/>
      <c r="E45" s="114"/>
      <c r="F45" s="114"/>
      <c r="G45" s="115"/>
      <c r="H45" s="174"/>
      <c r="M45" s="171">
        <v>33</v>
      </c>
      <c r="N45" s="171">
        <f t="shared" si="8"/>
        <v>0.57595865315812877</v>
      </c>
      <c r="O45" s="171">
        <f t="shared" ref="O45:O78" si="12">IF((Vout+Vdf)/Vacmin/SIN(N45)&gt;1,1,(Vout+Vdf)/Vacmin/SIN(N45))</f>
        <v>0.7880702420978547</v>
      </c>
      <c r="P45" s="171">
        <f t="shared" si="10"/>
        <v>16.323590991604632</v>
      </c>
      <c r="Q45" s="171">
        <f t="shared" si="9"/>
        <v>0.30286183462075322</v>
      </c>
      <c r="T45" s="171">
        <f t="shared" si="11"/>
        <v>0.12968751876783208</v>
      </c>
      <c r="U45" s="171">
        <f t="shared" si="5"/>
        <v>4.4181457268401203E-3</v>
      </c>
      <c r="V45" s="171">
        <f t="shared" si="2"/>
        <v>8.6174573342416287E-5</v>
      </c>
      <c r="X45" s="171">
        <f t="shared" si="6"/>
        <v>5.6062841747189325E-3</v>
      </c>
      <c r="Y45" s="171">
        <f t="shared" si="7"/>
        <v>1.1096352219132186E-4</v>
      </c>
    </row>
    <row r="46" spans="1:25" ht="20.100000000000001" customHeight="1" x14ac:dyDescent="0.15">
      <c r="A46" s="113"/>
      <c r="B46" s="114"/>
      <c r="C46" s="114"/>
      <c r="D46" s="114"/>
      <c r="E46" s="114"/>
      <c r="F46" s="114"/>
      <c r="G46" s="115"/>
      <c r="M46" s="171">
        <v>34</v>
      </c>
      <c r="N46" s="171">
        <f t="shared" si="8"/>
        <v>0.59341194567807209</v>
      </c>
      <c r="O46" s="171">
        <f t="shared" si="12"/>
        <v>0.76755948352747261</v>
      </c>
      <c r="P46" s="171">
        <f t="shared" si="10"/>
        <v>18.381818807111927</v>
      </c>
      <c r="Q46" s="171">
        <f t="shared" ref="Q46:Q94" si="13">(P46+P47)*PI()/180/2</f>
        <v>0.33857446980698647</v>
      </c>
      <c r="T46" s="171">
        <f t="shared" si="11"/>
        <v>0.14603970858864779</v>
      </c>
      <c r="U46" s="171">
        <f t="shared" si="5"/>
        <v>5.456732980881931E-3</v>
      </c>
      <c r="V46" s="171">
        <f t="shared" si="2"/>
        <v>1.0488710423547399E-4</v>
      </c>
      <c r="X46" s="171">
        <f t="shared" si="6"/>
        <v>7.1091988282190556E-3</v>
      </c>
      <c r="Y46" s="171">
        <f t="shared" si="7"/>
        <v>1.3856926334168533E-4</v>
      </c>
    </row>
    <row r="47" spans="1:25" ht="20.100000000000001" customHeight="1" x14ac:dyDescent="0.15">
      <c r="A47" s="113"/>
      <c r="B47" s="114"/>
      <c r="C47" s="114"/>
      <c r="D47" s="114"/>
      <c r="E47" s="114"/>
      <c r="F47" s="114"/>
      <c r="G47" s="115"/>
      <c r="M47" s="171">
        <v>35</v>
      </c>
      <c r="N47" s="171">
        <f t="shared" si="8"/>
        <v>0.6108652381980153</v>
      </c>
      <c r="O47" s="171">
        <f t="shared" si="12"/>
        <v>0.74831145245573261</v>
      </c>
      <c r="P47" s="171">
        <f t="shared" si="10"/>
        <v>20.415957534527763</v>
      </c>
      <c r="Q47" s="171">
        <f t="shared" si="13"/>
        <v>0.37386126390196422</v>
      </c>
      <c r="T47" s="171">
        <f t="shared" si="11"/>
        <v>0.16220051563924048</v>
      </c>
      <c r="U47" s="171">
        <f t="shared" si="5"/>
        <v>6.5624438152008706E-3</v>
      </c>
      <c r="V47" s="171">
        <f t="shared" si="2"/>
        <v>1.2469390796367966E-4</v>
      </c>
      <c r="X47" s="171">
        <f t="shared" si="6"/>
        <v>8.7696690912118323E-3</v>
      </c>
      <c r="Y47" s="171">
        <f t="shared" si="7"/>
        <v>1.6886578474646765E-4</v>
      </c>
    </row>
    <row r="48" spans="1:25" ht="20.100000000000001" customHeight="1" x14ac:dyDescent="0.15">
      <c r="A48" s="113"/>
      <c r="B48" s="114"/>
      <c r="C48" s="114"/>
      <c r="D48" s="114"/>
      <c r="E48" s="114"/>
      <c r="F48" s="114"/>
      <c r="G48" s="115"/>
      <c r="M48" s="171">
        <v>36</v>
      </c>
      <c r="N48" s="171">
        <f t="shared" si="8"/>
        <v>0.62831853071795862</v>
      </c>
      <c r="O48" s="171">
        <f t="shared" si="12"/>
        <v>0.73022215937916046</v>
      </c>
      <c r="P48" s="171">
        <f t="shared" si="10"/>
        <v>22.425387555490687</v>
      </c>
      <c r="Q48" s="171">
        <f t="shared" si="13"/>
        <v>0.40871146820637444</v>
      </c>
      <c r="T48" s="171">
        <f t="shared" si="11"/>
        <v>0.17816501718122976</v>
      </c>
      <c r="U48" s="171">
        <f t="shared" si="5"/>
        <v>7.7264254994222695E-3</v>
      </c>
      <c r="V48" s="171">
        <f t="shared" si="2"/>
        <v>1.454481976897575E-4</v>
      </c>
      <c r="X48" s="171">
        <f t="shared" si="6"/>
        <v>1.0580924449062633E-2</v>
      </c>
      <c r="Y48" s="171">
        <f t="shared" si="7"/>
        <v>2.0173381872126811E-4</v>
      </c>
    </row>
    <row r="49" spans="1:25" ht="20.100000000000001" customHeight="1" x14ac:dyDescent="0.15">
      <c r="A49" s="113"/>
      <c r="B49" s="114"/>
      <c r="C49" s="114"/>
      <c r="D49" s="114"/>
      <c r="E49" s="114"/>
      <c r="F49" s="114"/>
      <c r="G49" s="115"/>
      <c r="M49" s="171">
        <v>37</v>
      </c>
      <c r="N49" s="171">
        <f t="shared" si="8"/>
        <v>0.64577182323790194</v>
      </c>
      <c r="O49" s="171">
        <f t="shared" si="12"/>
        <v>0.71319890608944414</v>
      </c>
      <c r="P49" s="171">
        <f t="shared" si="10"/>
        <v>24.409496778150483</v>
      </c>
      <c r="Q49" s="171">
        <f t="shared" si="13"/>
        <v>0.44311446701038437</v>
      </c>
      <c r="T49" s="171">
        <f t="shared" si="11"/>
        <v>0.19392835027279398</v>
      </c>
      <c r="U49" s="171">
        <f t="shared" si="5"/>
        <v>8.9407102313928382E-3</v>
      </c>
      <c r="V49" s="171">
        <f t="shared" si="2"/>
        <v>1.6701762942450591E-4</v>
      </c>
      <c r="X49" s="171">
        <f t="shared" si="6"/>
        <v>1.2536068346509157E-2</v>
      </c>
      <c r="Y49" s="171">
        <f t="shared" si="7"/>
        <v>2.3705198354900741E-4</v>
      </c>
    </row>
    <row r="50" spans="1:25" ht="20.100000000000001" customHeight="1" x14ac:dyDescent="0.15">
      <c r="A50" s="113"/>
      <c r="B50" s="114"/>
      <c r="C50" s="114"/>
      <c r="D50" s="114"/>
      <c r="E50" s="114"/>
      <c r="F50" s="114"/>
      <c r="G50" s="115"/>
      <c r="M50" s="171">
        <v>38</v>
      </c>
      <c r="N50" s="171">
        <f t="shared" si="8"/>
        <v>0.66322511575784526</v>
      </c>
      <c r="O50" s="171">
        <f t="shared" si="12"/>
        <v>0.69715880135783848</v>
      </c>
      <c r="P50" s="171">
        <f t="shared" si="10"/>
        <v>26.367680823617462</v>
      </c>
      <c r="Q50" s="171">
        <f t="shared" si="13"/>
        <v>0.47705978082728884</v>
      </c>
      <c r="T50" s="171">
        <f t="shared" si="11"/>
        <v>0.20948571324997084</v>
      </c>
      <c r="U50" s="171">
        <f t="shared" si="5"/>
        <v>1.0198100309215523E-2</v>
      </c>
      <c r="V50" s="171">
        <f t="shared" si="2"/>
        <v>1.8928245240304426E-4</v>
      </c>
      <c r="X50" s="171">
        <f t="shared" si="6"/>
        <v>1.4628088018616335E-2</v>
      </c>
      <c r="Y50" s="171">
        <f t="shared" si="7"/>
        <v>2.7469695614091601E-4</v>
      </c>
    </row>
    <row r="51" spans="1:25" ht="20.100000000000001" customHeight="1" x14ac:dyDescent="0.15">
      <c r="A51" s="113"/>
      <c r="B51" s="114"/>
      <c r="C51" s="114"/>
      <c r="D51" s="114"/>
      <c r="E51" s="114"/>
      <c r="F51" s="114"/>
      <c r="G51" s="115"/>
      <c r="M51" s="171">
        <v>39</v>
      </c>
      <c r="N51" s="171">
        <f t="shared" si="8"/>
        <v>0.68067840827778847</v>
      </c>
      <c r="O51" s="171">
        <f t="shared" si="12"/>
        <v>0.68202750504272769</v>
      </c>
      <c r="P51" s="171">
        <f t="shared" si="10"/>
        <v>28.299343210061977</v>
      </c>
      <c r="Q51" s="171">
        <f t="shared" si="13"/>
        <v>0.51053706958566369</v>
      </c>
      <c r="T51" s="171">
        <f t="shared" si="11"/>
        <v>0.2248323671892897</v>
      </c>
      <c r="U51" s="171">
        <f t="shared" si="5"/>
        <v>1.1492071007945125E-2</v>
      </c>
      <c r="V51" s="171">
        <f t="shared" si="2"/>
        <v>2.1213394142459132E-4</v>
      </c>
      <c r="X51" s="171">
        <f t="shared" si="6"/>
        <v>1.6849864445313199E-2</v>
      </c>
      <c r="Y51" s="171">
        <f t="shared" si="7"/>
        <v>3.1454364674485144E-4</v>
      </c>
    </row>
    <row r="52" spans="1:25" ht="20.100000000000001" customHeight="1" x14ac:dyDescent="0.15">
      <c r="A52" s="113"/>
      <c r="B52" s="114"/>
      <c r="C52" s="114"/>
      <c r="D52" s="114"/>
      <c r="E52" s="114"/>
      <c r="F52" s="114"/>
      <c r="G52" s="115"/>
      <c r="I52"/>
      <c r="M52" s="171">
        <v>40</v>
      </c>
      <c r="N52" s="171">
        <f t="shared" si="8"/>
        <v>0.69813170079773179</v>
      </c>
      <c r="O52" s="171">
        <f t="shared" si="12"/>
        <v>0.66773816064927582</v>
      </c>
      <c r="P52" s="171">
        <f t="shared" si="10"/>
        <v>30.20389553440873</v>
      </c>
      <c r="Q52" s="171">
        <f t="shared" si="13"/>
        <v>0.54353613577905158</v>
      </c>
      <c r="T52" s="171">
        <f t="shared" si="11"/>
        <v>0.23996363735129447</v>
      </c>
      <c r="U52" s="171">
        <f t="shared" si="5"/>
        <v>1.2816688062263886E-2</v>
      </c>
      <c r="V52" s="171">
        <f t="shared" si="2"/>
        <v>2.3547306234990493E-4</v>
      </c>
      <c r="X52" s="171">
        <f t="shared" si="6"/>
        <v>1.9194182416954524E-2</v>
      </c>
      <c r="Y52" s="171">
        <f t="shared" si="7"/>
        <v>3.5646537548064211E-4</v>
      </c>
    </row>
    <row r="53" spans="1:25" ht="20.100000000000001" customHeight="1" x14ac:dyDescent="0.15">
      <c r="A53" s="116"/>
      <c r="B53" s="117"/>
      <c r="C53" s="117"/>
      <c r="D53" s="117"/>
      <c r="E53" s="117"/>
      <c r="F53" s="117"/>
      <c r="G53" s="118"/>
      <c r="M53" s="171">
        <v>41</v>
      </c>
      <c r="N53" s="171">
        <f t="shared" si="8"/>
        <v>0.71558499331767511</v>
      </c>
      <c r="O53" s="171">
        <f t="shared" si="12"/>
        <v>0.65423048416950413</v>
      </c>
      <c r="P53" s="171">
        <f t="shared" si="10"/>
        <v>32.080757651569897</v>
      </c>
      <c r="Q53" s="171">
        <f>(P53+P56)*PI()/180/2</f>
        <v>0.57604692757222054</v>
      </c>
      <c r="T53" s="171">
        <f t="shared" si="11"/>
        <v>0.25487491460451395</v>
      </c>
      <c r="U53" s="171">
        <f t="shared" si="5"/>
        <v>1.4166537261076992E-2</v>
      </c>
      <c r="V53" s="171">
        <f>(U53+U56)*PI()/180/2</f>
        <v>2.5920933137251595E-4</v>
      </c>
      <c r="X53" s="171">
        <f t="shared" si="6"/>
        <v>2.1653740698219428E-2</v>
      </c>
      <c r="Y53" s="171">
        <f>(X53+X56)*PI()/180/2</f>
        <v>4.0033405048002258E-4</v>
      </c>
    </row>
    <row r="54" spans="1:25" ht="20.100000000000001" customHeight="1" x14ac:dyDescent="0.15">
      <c r="A54" s="113"/>
      <c r="B54" s="114"/>
      <c r="C54" s="114"/>
      <c r="D54" s="114"/>
      <c r="E54" s="114"/>
      <c r="F54" s="114"/>
      <c r="G54" s="115"/>
      <c r="M54" s="171"/>
    </row>
    <row r="55" spans="1:25" ht="20.100000000000001" customHeight="1" x14ac:dyDescent="0.15">
      <c r="A55" s="113"/>
      <c r="B55" s="114"/>
      <c r="C55" s="114"/>
      <c r="D55" s="114"/>
      <c r="E55" s="114"/>
      <c r="F55" s="114"/>
      <c r="G55" s="115"/>
      <c r="M55" s="171"/>
    </row>
    <row r="56" spans="1:25" ht="20.100000000000001" customHeight="1" thickBot="1" x14ac:dyDescent="0.35">
      <c r="A56" s="36"/>
      <c r="B56" s="6"/>
      <c r="C56" s="37"/>
      <c r="D56" s="38"/>
      <c r="E56" s="38"/>
      <c r="F56" s="6"/>
      <c r="G56" s="39"/>
      <c r="M56" s="171">
        <v>42</v>
      </c>
      <c r="N56" s="171">
        <f t="shared" si="8"/>
        <v>0.73303828583761843</v>
      </c>
      <c r="O56" s="171">
        <f t="shared" si="12"/>
        <v>0.64144998315925894</v>
      </c>
      <c r="P56" s="171">
        <f t="shared" si="10"/>
        <v>33.929357851163005</v>
      </c>
      <c r="Q56" s="171">
        <f t="shared" si="13"/>
        <v>0.60805954186305122</v>
      </c>
      <c r="T56" s="171">
        <f t="shared" si="11"/>
        <v>0.26956165682944777</v>
      </c>
      <c r="U56" s="171">
        <f t="shared" si="5"/>
        <v>1.5536664135029341E-2</v>
      </c>
      <c r="V56" s="171">
        <f t="shared" si="2"/>
        <v>2.8325983610357527E-4</v>
      </c>
      <c r="X56" s="171">
        <f t="shared" si="6"/>
        <v>2.4221162277545658E-2</v>
      </c>
      <c r="Y56" s="171">
        <f t="shared" si="7"/>
        <v>4.4602034740687653E-4</v>
      </c>
    </row>
    <row r="57" spans="1:25" ht="20.100000000000001" customHeight="1" x14ac:dyDescent="0.15">
      <c r="A57" s="132" t="s">
        <v>23</v>
      </c>
      <c r="B57" s="133"/>
      <c r="C57" s="133"/>
      <c r="D57" s="133"/>
      <c r="E57" s="133"/>
      <c r="F57" s="133"/>
      <c r="G57" s="134"/>
      <c r="M57" s="171">
        <v>43</v>
      </c>
      <c r="N57" s="171">
        <f t="shared" si="8"/>
        <v>0.75049157835756175</v>
      </c>
      <c r="O57" s="171">
        <f t="shared" si="12"/>
        <v>0.62934728485402969</v>
      </c>
      <c r="P57" s="171">
        <f t="shared" si="10"/>
        <v>35.749133031659468</v>
      </c>
      <c r="Q57" s="171">
        <f t="shared" si="13"/>
        <v>0.63956422729911777</v>
      </c>
      <c r="T57" s="171">
        <f t="shared" si="11"/>
        <v>0.28401939030214063</v>
      </c>
      <c r="U57" s="171">
        <f t="shared" si="5"/>
        <v>1.692252209357523E-2</v>
      </c>
      <c r="V57" s="171">
        <f t="shared" si="2"/>
        <v>3.0754839239563182E-4</v>
      </c>
      <c r="X57" s="171">
        <f t="shared" si="6"/>
        <v>2.68890046891999E-2</v>
      </c>
      <c r="Y57" s="171">
        <f t="shared" si="7"/>
        <v>4.9339389013192483E-4</v>
      </c>
    </row>
    <row r="58" spans="1:25" ht="20.100000000000001" customHeight="1" x14ac:dyDescent="0.15">
      <c r="A58" s="30" t="s">
        <v>24</v>
      </c>
      <c r="B58" s="3">
        <f>0.3/(Iout*0.001)</f>
        <v>2</v>
      </c>
      <c r="C58" s="40" t="s">
        <v>25</v>
      </c>
      <c r="D58" s="183" t="s">
        <v>26</v>
      </c>
      <c r="E58" s="184"/>
      <c r="F58" s="184"/>
      <c r="G58" s="185"/>
      <c r="H58" s="171" t="s">
        <v>243</v>
      </c>
      <c r="M58" s="171">
        <v>44</v>
      </c>
      <c r="N58" s="171">
        <f t="shared" si="8"/>
        <v>0.76794487087750496</v>
      </c>
      <c r="O58" s="171">
        <f t="shared" si="12"/>
        <v>0.61787755597997074</v>
      </c>
      <c r="P58" s="171">
        <f t="shared" si="10"/>
        <v>37.539528871910775</v>
      </c>
      <c r="Q58" s="171">
        <f t="shared" si="13"/>
        <v>0.67055138724804353</v>
      </c>
      <c r="T58" s="171">
        <f t="shared" si="11"/>
        <v>0.29824371105692182</v>
      </c>
      <c r="U58" s="171">
        <f t="shared" si="5"/>
        <v>1.8319927667030854E-2</v>
      </c>
      <c r="V58" s="171">
        <f t="shared" si="2"/>
        <v>3.3200481552418052E-4</v>
      </c>
      <c r="X58" s="171">
        <f t="shared" si="6"/>
        <v>2.9649770395001555E-2</v>
      </c>
      <c r="Y58" s="171">
        <f t="shared" si="7"/>
        <v>5.4232343233468795E-4</v>
      </c>
    </row>
    <row r="59" spans="1:25" ht="21.75" customHeight="1" x14ac:dyDescent="0.3">
      <c r="A59" s="30" t="s">
        <v>28</v>
      </c>
      <c r="B59" s="3">
        <f>Iprms*Iprms*B58/1000000</f>
        <v>0.11295330998576224</v>
      </c>
      <c r="C59" s="31" t="s">
        <v>27</v>
      </c>
      <c r="D59" s="107"/>
      <c r="E59" s="108"/>
      <c r="F59" s="108"/>
      <c r="G59" s="109"/>
      <c r="M59" s="171">
        <v>45</v>
      </c>
      <c r="N59" s="171">
        <f t="shared" si="8"/>
        <v>0.78539816339744828</v>
      </c>
      <c r="O59" s="171">
        <f t="shared" si="12"/>
        <v>0.6070000000000001</v>
      </c>
      <c r="P59" s="171">
        <f t="shared" si="10"/>
        <v>39.299999999999997</v>
      </c>
      <c r="Q59" s="171">
        <f t="shared" si="13"/>
        <v>0.7010115827207285</v>
      </c>
      <c r="T59" s="171">
        <f t="shared" si="11"/>
        <v>0.31223028622789484</v>
      </c>
      <c r="U59" s="171">
        <f t="shared" si="5"/>
        <v>1.9725021748079188E-2</v>
      </c>
      <c r="V59" s="171">
        <f t="shared" si="2"/>
        <v>3.5656428810973417E-4</v>
      </c>
      <c r="X59" s="171">
        <f t="shared" si="6"/>
        <v>3.2495917212651042E-2</v>
      </c>
      <c r="Y59" s="171">
        <f t="shared" si="7"/>
        <v>5.9267703980454443E-4</v>
      </c>
    </row>
    <row r="60" spans="1:25" ht="20.25" customHeight="1" x14ac:dyDescent="0.15">
      <c r="A60" s="131" t="s">
        <v>187</v>
      </c>
      <c r="B60" s="120"/>
      <c r="C60" s="120"/>
      <c r="D60" s="120"/>
      <c r="E60" s="120"/>
      <c r="F60" s="120"/>
      <c r="G60" s="121"/>
      <c r="M60" s="171">
        <v>46</v>
      </c>
      <c r="N60" s="171">
        <f t="shared" si="8"/>
        <v>0.8028514559173916</v>
      </c>
      <c r="O60" s="171">
        <f t="shared" si="12"/>
        <v>0.59667742001508728</v>
      </c>
      <c r="P60" s="171">
        <f t="shared" si="10"/>
        <v>41.030010159367464</v>
      </c>
      <c r="Q60" s="171">
        <f t="shared" si="13"/>
        <v>0.7309355352465573</v>
      </c>
      <c r="T60" s="171">
        <f t="shared" si="11"/>
        <v>0.32597485536877202</v>
      </c>
      <c r="U60" s="171">
        <f t="shared" si="5"/>
        <v>2.1134235919469797E-2</v>
      </c>
      <c r="V60" s="171">
        <f t="shared" si="2"/>
        <v>3.8116681019766287E-4</v>
      </c>
      <c r="X60" s="171">
        <f t="shared" si="6"/>
        <v>3.5419868777563944E-2</v>
      </c>
      <c r="Y60" s="171">
        <f t="shared" si="7"/>
        <v>6.4432227321195167E-4</v>
      </c>
    </row>
    <row r="61" spans="1:25" ht="20.25" customHeight="1" x14ac:dyDescent="0.3">
      <c r="A61" s="151" t="s">
        <v>188</v>
      </c>
      <c r="B61" s="152">
        <f>Iout</f>
        <v>150</v>
      </c>
      <c r="C61" s="153" t="s">
        <v>189</v>
      </c>
      <c r="D61" s="180" t="s">
        <v>252</v>
      </c>
      <c r="E61" s="181"/>
      <c r="F61" s="181"/>
      <c r="G61" s="182"/>
      <c r="M61" s="171">
        <v>47</v>
      </c>
      <c r="N61" s="171">
        <f t="shared" si="8"/>
        <v>0.82030474843733492</v>
      </c>
      <c r="O61" s="171">
        <f t="shared" si="12"/>
        <v>0.58687583754615902</v>
      </c>
      <c r="P61" s="171">
        <f t="shared" si="10"/>
        <v>42.729032372159665</v>
      </c>
      <c r="Q61" s="171">
        <f t="shared" si="13"/>
        <v>0.76031412969971102</v>
      </c>
      <c r="T61" s="171">
        <f t="shared" si="11"/>
        <v>0.33947323175064625</v>
      </c>
      <c r="U61" s="171">
        <f t="shared" si="5"/>
        <v>2.2544263110110586E-2</v>
      </c>
      <c r="V61" s="171">
        <f t="shared" si="2"/>
        <v>4.0575671937191144E-4</v>
      </c>
      <c r="X61" s="171">
        <f t="shared" si="6"/>
        <v>3.8414025025075994E-2</v>
      </c>
      <c r="Y61" s="171">
        <f t="shared" si="7"/>
        <v>6.9712637112043956E-4</v>
      </c>
    </row>
    <row r="62" spans="1:25" ht="21" customHeight="1" x14ac:dyDescent="0.15">
      <c r="A62" s="119" t="s">
        <v>29</v>
      </c>
      <c r="B62" s="120"/>
      <c r="C62" s="120"/>
      <c r="D62" s="120"/>
      <c r="E62" s="120"/>
      <c r="F62" s="120"/>
      <c r="G62" s="121"/>
      <c r="M62" s="171">
        <v>48</v>
      </c>
      <c r="N62" s="171">
        <f t="shared" si="8"/>
        <v>0.83775804095727824</v>
      </c>
      <c r="O62" s="171">
        <f t="shared" si="12"/>
        <v>0.57756415905137815</v>
      </c>
      <c r="P62" s="171">
        <f t="shared" si="10"/>
        <v>44.396549099751766</v>
      </c>
      <c r="Q62" s="171">
        <f t="shared" si="13"/>
        <v>0.78913841707572185</v>
      </c>
      <c r="T62" s="171">
        <f t="shared" si="11"/>
        <v>0.35272130363731002</v>
      </c>
      <c r="U62" s="171">
        <f t="shared" si="5"/>
        <v>2.3952031948058724E-2</v>
      </c>
      <c r="V62" s="171">
        <f t="shared" si="2"/>
        <v>4.3028227078076894E-4</v>
      </c>
      <c r="X62" s="171">
        <f t="shared" si="6"/>
        <v>4.1470772679867818E-2</v>
      </c>
      <c r="Y62" s="171">
        <f t="shared" si="7"/>
        <v>7.5095643300981355E-4</v>
      </c>
    </row>
    <row r="63" spans="1:25" ht="20.25" customHeight="1" x14ac:dyDescent="0.3">
      <c r="A63" s="154" t="s">
        <v>203</v>
      </c>
      <c r="B63" s="166">
        <v>1.5</v>
      </c>
      <c r="C63" s="153" t="s">
        <v>40</v>
      </c>
      <c r="D63" s="122"/>
      <c r="E63" s="123"/>
      <c r="F63" s="123"/>
      <c r="G63" s="124"/>
      <c r="M63" s="171">
        <v>49</v>
      </c>
      <c r="N63" s="171">
        <f t="shared" si="8"/>
        <v>0.85521133347722145</v>
      </c>
      <c r="O63" s="171">
        <f t="shared" si="12"/>
        <v>0.56871388336363882</v>
      </c>
      <c r="P63" s="171">
        <f t="shared" si="10"/>
        <v>46.03205240039496</v>
      </c>
      <c r="Q63" s="171">
        <f t="shared" si="13"/>
        <v>0.81739961721742849</v>
      </c>
      <c r="T63" s="171">
        <f t="shared" si="11"/>
        <v>0.3657150355377296</v>
      </c>
      <c r="U63" s="171">
        <f t="shared" si="5"/>
        <v>2.5354684282027921E-2</v>
      </c>
      <c r="V63" s="171">
        <f t="shared" si="2"/>
        <v>4.546952685905352E-4</v>
      </c>
      <c r="X63" s="171">
        <f t="shared" si="6"/>
        <v>4.4582495739454275E-2</v>
      </c>
      <c r="Y63" s="171">
        <f t="shared" si="7"/>
        <v>8.0567960208109506E-4</v>
      </c>
    </row>
    <row r="64" spans="1:25" ht="20.25" customHeight="1" x14ac:dyDescent="0.3">
      <c r="A64" s="154" t="s">
        <v>204</v>
      </c>
      <c r="B64" s="165">
        <v>100</v>
      </c>
      <c r="C64" s="153" t="s">
        <v>40</v>
      </c>
      <c r="D64" s="125"/>
      <c r="E64" s="126"/>
      <c r="F64" s="126"/>
      <c r="G64" s="127"/>
      <c r="M64" s="171">
        <v>50</v>
      </c>
      <c r="N64" s="171">
        <f t="shared" si="8"/>
        <v>0.87266462599716477</v>
      </c>
      <c r="O64" s="171">
        <f t="shared" si="12"/>
        <v>0.56029884432380261</v>
      </c>
      <c r="P64" s="171">
        <f t="shared" si="10"/>
        <v>47.635044083940372</v>
      </c>
      <c r="Q64" s="171">
        <f>(P64+P65)*PI()/180/2</f>
        <v>0.84508912148949478</v>
      </c>
      <c r="T64" s="171">
        <f t="shared" si="11"/>
        <v>0.37845046943529498</v>
      </c>
      <c r="U64" s="171">
        <f t="shared" si="5"/>
        <v>2.6749555427582176E-2</v>
      </c>
      <c r="V64" s="171">
        <f t="shared" si="2"/>
        <v>4.7895074172844869E-4</v>
      </c>
      <c r="X64" s="171">
        <f t="shared" si="6"/>
        <v>4.7741585938598376E-2</v>
      </c>
      <c r="Y64" s="171">
        <f t="shared" si="7"/>
        <v>8.6116324761412481E-4</v>
      </c>
    </row>
    <row r="65" spans="1:25" ht="20.100000000000001" customHeight="1" x14ac:dyDescent="0.3">
      <c r="A65" s="156" t="s">
        <v>229</v>
      </c>
      <c r="B65" s="152">
        <f>(B64*B66/F29/B63)-B66</f>
        <v>80.666666666666671</v>
      </c>
      <c r="C65" s="153" t="s">
        <v>190</v>
      </c>
      <c r="D65" s="125"/>
      <c r="E65" s="126"/>
      <c r="F65" s="126"/>
      <c r="G65" s="127"/>
      <c r="M65" s="171">
        <v>51</v>
      </c>
      <c r="N65" s="171">
        <f t="shared" si="8"/>
        <v>0.89011791851710809</v>
      </c>
      <c r="O65" s="171">
        <f t="shared" si="12"/>
        <v>0.55229498378342801</v>
      </c>
      <c r="P65" s="171">
        <f t="shared" si="10"/>
        <v>49.205035863592684</v>
      </c>
      <c r="Q65" s="171">
        <f t="shared" si="13"/>
        <v>0.8721984954006855</v>
      </c>
      <c r="T65" s="171">
        <f t="shared" si="11"/>
        <v>0.39092372599347014</v>
      </c>
      <c r="U65" s="171">
        <f t="shared" si="5"/>
        <v>2.8134156763818693E-2</v>
      </c>
      <c r="V65" s="171">
        <f t="shared" si="2"/>
        <v>5.0300665788640894E-4</v>
      </c>
      <c r="X65" s="171">
        <f t="shared" si="6"/>
        <v>5.0940453181539246E-2</v>
      </c>
      <c r="Y65" s="171">
        <f t="shared" si="7"/>
        <v>9.1727514664940351E-4</v>
      </c>
    </row>
    <row r="66" spans="1:25" ht="20.100000000000001" customHeight="1" thickBot="1" x14ac:dyDescent="0.25">
      <c r="A66" s="157" t="s">
        <v>202</v>
      </c>
      <c r="B66" s="155">
        <v>6</v>
      </c>
      <c r="C66" s="158" t="s">
        <v>190</v>
      </c>
      <c r="D66" s="141"/>
      <c r="E66" s="140"/>
      <c r="F66" s="140"/>
      <c r="G66" s="142"/>
      <c r="M66" s="171">
        <v>52</v>
      </c>
      <c r="N66" s="171">
        <f t="shared" si="8"/>
        <v>0.90757121103705141</v>
      </c>
      <c r="O66" s="171">
        <f t="shared" si="12"/>
        <v>0.54468015089353095</v>
      </c>
      <c r="P66" s="171">
        <f t="shared" si="10"/>
        <v>50.741549504646954</v>
      </c>
      <c r="Q66" s="171">
        <f t="shared" si="13"/>
        <v>0.89871948117309286</v>
      </c>
      <c r="T66" s="171">
        <f t="shared" si="11"/>
        <v>0.40313100573747623</v>
      </c>
      <c r="U66" s="171">
        <f t="shared" si="5"/>
        <v>2.9506160363925549E-2</v>
      </c>
      <c r="V66" s="171">
        <f t="shared" si="2"/>
        <v>5.2682367067671636E-4</v>
      </c>
      <c r="X66" s="171">
        <f t="shared" si="6"/>
        <v>5.41715359289697E-2</v>
      </c>
      <c r="Y66" s="171">
        <f t="shared" si="7"/>
        <v>9.7388366476670624E-4</v>
      </c>
    </row>
    <row r="67" spans="1:25" ht="20.100000000000001" customHeight="1" x14ac:dyDescent="0.15">
      <c r="B67" s="12"/>
      <c r="C67" s="12"/>
      <c r="F67" s="12"/>
      <c r="G67" s="12"/>
      <c r="M67" s="171">
        <v>53</v>
      </c>
      <c r="N67" s="171">
        <f t="shared" si="8"/>
        <v>0.92502450355699462</v>
      </c>
      <c r="O67" s="171">
        <f t="shared" si="12"/>
        <v>0.53743392421258296</v>
      </c>
      <c r="P67" s="171">
        <f t="shared" si="10"/>
        <v>52.244116970163574</v>
      </c>
      <c r="Q67" s="171">
        <f t="shared" si="13"/>
        <v>0.92464400025753612</v>
      </c>
      <c r="T67" s="171">
        <f t="shared" si="11"/>
        <v>0.41506859021164871</v>
      </c>
      <c r="U67" s="171">
        <f t="shared" si="5"/>
        <v>3.086338539080612E-2</v>
      </c>
      <c r="V67" s="171">
        <f t="shared" si="2"/>
        <v>5.5036489559591646E-4</v>
      </c>
      <c r="X67" s="171">
        <f t="shared" si="6"/>
        <v>5.7427311526761858E-2</v>
      </c>
      <c r="Y67" s="171">
        <f t="shared" si="7"/>
        <v>1.03085793573422E-3</v>
      </c>
    </row>
    <row r="68" spans="1:25" ht="20.25" customHeight="1" x14ac:dyDescent="0.3">
      <c r="M68" s="171">
        <v>54</v>
      </c>
      <c r="N68" s="171">
        <f t="shared" si="8"/>
        <v>0.94247779607693793</v>
      </c>
      <c r="O68" s="171">
        <f t="shared" si="12"/>
        <v>0.5305374536808688</v>
      </c>
      <c r="P68" s="171">
        <f t="shared" si="10"/>
        <v>53.712280563536865</v>
      </c>
      <c r="Q68" s="171">
        <f t="shared" si="13"/>
        <v>0.94996415579436566</v>
      </c>
      <c r="T68" s="171">
        <f t="shared" si="11"/>
        <v>0.42673284311211473</v>
      </c>
      <c r="U68" s="171">
        <f t="shared" si="5"/>
        <v>3.2203786028802292E-2</v>
      </c>
      <c r="V68" s="171">
        <f t="shared" si="2"/>
        <v>5.7359571109130356E-4</v>
      </c>
      <c r="X68" s="171">
        <f t="shared" si="6"/>
        <v>6.0700306463516242E-2</v>
      </c>
      <c r="Y68" s="171">
        <f t="shared" si="7"/>
        <v>1.0880680398034574E-3</v>
      </c>
    </row>
    <row r="69" spans="1:25" ht="20.25" customHeight="1" x14ac:dyDescent="0.3">
      <c r="M69" s="171">
        <v>55</v>
      </c>
      <c r="N69" s="171">
        <f t="shared" si="8"/>
        <v>0.95993108859688125</v>
      </c>
      <c r="O69" s="171">
        <f t="shared" si="12"/>
        <v>0.52397331993816076</v>
      </c>
      <c r="P69" s="171">
        <f t="shared" si="10"/>
        <v>55.14559306791385</v>
      </c>
      <c r="Q69" s="171">
        <f t="shared" si="13"/>
        <v>0.97467223501892308</v>
      </c>
      <c r="T69" s="171">
        <f t="shared" si="11"/>
        <v>0.43812021139444673</v>
      </c>
      <c r="U69" s="171">
        <f t="shared" si="5"/>
        <v>3.3525440755871709E-2</v>
      </c>
      <c r="V69" s="171">
        <f t="shared" si="2"/>
        <v>5.9648358155951721E-4</v>
      </c>
      <c r="X69" s="171">
        <f t="shared" si="6"/>
        <v>6.3983106544104898E-2</v>
      </c>
      <c r="Y69" s="171">
        <f t="shared" si="7"/>
        <v>1.145385180426982E-3</v>
      </c>
    </row>
    <row r="70" spans="1:25" ht="20.100000000000001" customHeight="1" x14ac:dyDescent="0.3">
      <c r="M70" s="171">
        <v>56</v>
      </c>
      <c r="N70" s="171">
        <f t="shared" si="8"/>
        <v>0.97738438111682457</v>
      </c>
      <c r="O70" s="171">
        <f t="shared" si="12"/>
        <v>0.51772540882245466</v>
      </c>
      <c r="P70" s="171">
        <f t="shared" si="10"/>
        <v>56.543617882420889</v>
      </c>
      <c r="Q70" s="171">
        <f t="shared" si="13"/>
        <v>0.99876071161092395</v>
      </c>
      <c r="T70" s="171">
        <f t="shared" si="11"/>
        <v>0.44922722635595397</v>
      </c>
      <c r="U70" s="171">
        <f t="shared" si="5"/>
        <v>3.4826542788543816E-2</v>
      </c>
      <c r="V70" s="171">
        <f t="shared" si="2"/>
        <v>6.1899789955630676E-4</v>
      </c>
      <c r="X70" s="171">
        <f t="shared" si="6"/>
        <v>6.726836696648783E-2</v>
      </c>
      <c r="Y70" s="171">
        <f t="shared" si="7"/>
        <v>1.2026818591780231E-3</v>
      </c>
    </row>
    <row r="71" spans="1:25" ht="20.100000000000001" customHeight="1" x14ac:dyDescent="0.3">
      <c r="M71" s="171">
        <v>57</v>
      </c>
      <c r="N71" s="171">
        <f t="shared" si="8"/>
        <v>0.99483767363676789</v>
      </c>
      <c r="O71" s="171">
        <f t="shared" si="12"/>
        <v>0.51177879919134728</v>
      </c>
      <c r="P71" s="171">
        <f t="shared" si="10"/>
        <v>57.9059291551565</v>
      </c>
      <c r="Q71" s="171">
        <f t="shared" si="13"/>
        <v>1.022222247987048</v>
      </c>
      <c r="T71" s="171">
        <f t="shared" si="11"/>
        <v>0.46005050469228281</v>
      </c>
      <c r="U71" s="171">
        <f t="shared" si="5"/>
        <v>3.6105391555534654E-2</v>
      </c>
      <c r="V71" s="171">
        <f t="shared" si="2"/>
        <v>6.4110984487577715E-4</v>
      </c>
      <c r="X71" s="171">
        <f t="shared" si="6"/>
        <v>7.0548822289208044E-2</v>
      </c>
      <c r="Y71" s="171">
        <f t="shared" si="7"/>
        <v>1.2598320486533927E-3</v>
      </c>
    </row>
    <row r="72" spans="1:25" ht="20.100000000000001" customHeight="1" x14ac:dyDescent="0.3">
      <c r="M72" s="171">
        <v>58</v>
      </c>
      <c r="N72" s="171">
        <f t="shared" si="8"/>
        <v>1.0122909661567112</v>
      </c>
      <c r="O72" s="171">
        <f t="shared" si="12"/>
        <v>0.50611966246436113</v>
      </c>
      <c r="P72" s="171">
        <f t="shared" si="10"/>
        <v>59.232111912910028</v>
      </c>
      <c r="Q72" s="171">
        <f t="shared" si="13"/>
        <v>1.0450496975360384</v>
      </c>
      <c r="T72" s="171">
        <f t="shared" si="11"/>
        <v>0.47058674952800505</v>
      </c>
      <c r="U72" s="171">
        <f t="shared" si="5"/>
        <v>3.7360385075803228E-2</v>
      </c>
      <c r="V72" s="171">
        <f t="shared" si="2"/>
        <v>6.6279225847832289E-4</v>
      </c>
      <c r="X72" s="171">
        <f t="shared" si="6"/>
        <v>7.381729627711113E-2</v>
      </c>
      <c r="Y72" s="171">
        <f t="shared" si="7"/>
        <v>1.3167113631436852E-3</v>
      </c>
    </row>
    <row r="73" spans="1:25" ht="20.100000000000001" customHeight="1" x14ac:dyDescent="0.3">
      <c r="M73" s="171">
        <v>59</v>
      </c>
      <c r="N73" s="171">
        <f t="shared" si="8"/>
        <v>1.0297442586766545</v>
      </c>
      <c r="O73" s="171">
        <f t="shared" si="12"/>
        <v>0.5007351725021032</v>
      </c>
      <c r="P73" s="171">
        <f t="shared" si="10"/>
        <v>60.521762187566424</v>
      </c>
      <c r="Q73" s="171">
        <f t="shared" si="13"/>
        <v>1.0672361067956275</v>
      </c>
      <c r="T73" s="171">
        <f t="shared" si="11"/>
        <v>0.48083275142087661</v>
      </c>
      <c r="U73" s="171">
        <f t="shared" si="5"/>
        <v>3.8590013133700481E-2</v>
      </c>
      <c r="V73" s="171">
        <f t="shared" si="2"/>
        <v>6.8401952951881455E-4</v>
      </c>
      <c r="X73" s="171">
        <f t="shared" si="6"/>
        <v>7.7066711612990182E-2</v>
      </c>
      <c r="Y73" s="171">
        <f t="shared" si="7"/>
        <v>1.3731972268576187E-3</v>
      </c>
    </row>
    <row r="74" spans="1:25" ht="20.100000000000001" customHeight="1" x14ac:dyDescent="0.3">
      <c r="M74" s="171">
        <v>60</v>
      </c>
      <c r="N74" s="171">
        <f t="shared" si="8"/>
        <v>1.0471975511965976</v>
      </c>
      <c r="O74" s="171">
        <f t="shared" si="12"/>
        <v>0.49561342462312974</v>
      </c>
      <c r="P74" s="171">
        <f t="shared" si="10"/>
        <v>61.774487139158893</v>
      </c>
      <c r="Q74" s="171">
        <f t="shared" si="13"/>
        <v>1.0887747175706308</v>
      </c>
      <c r="T74" s="171">
        <f t="shared" si="11"/>
        <v>0.49078538933946547</v>
      </c>
      <c r="U74" s="171">
        <f t="shared" si="5"/>
        <v>3.9792851158204127E-2</v>
      </c>
      <c r="V74" s="171">
        <f t="shared" si="2"/>
        <v>7.0476749395846541E-4</v>
      </c>
      <c r="X74" s="171">
        <f t="shared" si="6"/>
        <v>8.0290099463030243E-2</v>
      </c>
      <c r="Y74" s="171">
        <f t="shared" si="7"/>
        <v>1.4291690394904815E-3</v>
      </c>
    </row>
    <row r="75" spans="1:25" ht="20.100000000000001" customHeight="1" x14ac:dyDescent="0.3">
      <c r="M75" s="171">
        <v>61</v>
      </c>
      <c r="N75" s="171">
        <f t="shared" si="8"/>
        <v>1.064650843716541</v>
      </c>
      <c r="O75" s="171">
        <f t="shared" si="12"/>
        <v>0.49074336271710239</v>
      </c>
      <c r="P75" s="171">
        <f t="shared" si="10"/>
        <v>62.989905175531803</v>
      </c>
      <c r="Q75" s="171">
        <f t="shared" si="13"/>
        <v>1.109658968991557</v>
      </c>
      <c r="T75" s="171">
        <f t="shared" si="11"/>
        <v>0.50044163161384858</v>
      </c>
      <c r="U75" s="171">
        <f t="shared" si="5"/>
        <v>4.0967554725459508E-2</v>
      </c>
      <c r="V75" s="171">
        <f t="shared" si="2"/>
        <v>7.2501334344174753E-4</v>
      </c>
      <c r="X75" s="171">
        <f t="shared" si="6"/>
        <v>8.3480608884110311E-2</v>
      </c>
      <c r="Y75" s="171">
        <f t="shared" si="7"/>
        <v>1.4845083389300132E-3</v>
      </c>
    </row>
    <row r="76" spans="1:25" ht="20.100000000000001" customHeight="1" x14ac:dyDescent="0.3">
      <c r="M76" s="171">
        <v>62</v>
      </c>
      <c r="N76" s="171">
        <f t="shared" si="8"/>
        <v>1.0821041362364843</v>
      </c>
      <c r="O76" s="171">
        <f t="shared" si="12"/>
        <v>0.48611471354768399</v>
      </c>
      <c r="P76" s="171">
        <f t="shared" si="10"/>
        <v>64.167646068577213</v>
      </c>
      <c r="Q76" s="171">
        <f t="shared" si="13"/>
        <v>1.1298824995131127</v>
      </c>
      <c r="T76" s="171">
        <f t="shared" si="11"/>
        <v>0.50979853685908694</v>
      </c>
      <c r="U76" s="171">
        <f t="shared" si="5"/>
        <v>4.2112854614302482E-2</v>
      </c>
      <c r="V76" s="171">
        <f t="shared" si="2"/>
        <v>7.4473554328921326E-4</v>
      </c>
      <c r="X76" s="171">
        <f t="shared" si="6"/>
        <v>8.6631516061221936E-2</v>
      </c>
      <c r="Y76" s="171">
        <f t="shared" si="7"/>
        <v>1.5390989608966882E-3</v>
      </c>
    </row>
    <row r="77" spans="1:25" ht="20.100000000000001" customHeight="1" x14ac:dyDescent="0.3">
      <c r="M77" s="171">
        <v>63</v>
      </c>
      <c r="N77" s="171">
        <f t="shared" si="8"/>
        <v>1.0995574287564276</v>
      </c>
      <c r="O77" s="171">
        <f t="shared" si="12"/>
        <v>0.48171792745424857</v>
      </c>
      <c r="P77" s="171">
        <f t="shared" si="10"/>
        <v>65.307351067010089</v>
      </c>
      <c r="Q77" s="171">
        <f>(P77+P78)*PI()/180/2</f>
        <v>1.1494391488519915</v>
      </c>
      <c r="T77" s="171">
        <f t="shared" si="11"/>
        <v>0.51885325487120038</v>
      </c>
      <c r="U77" s="171">
        <f t="shared" si="5"/>
        <v>4.3227552353406189E-2</v>
      </c>
      <c r="V77" s="171">
        <f t="shared" si="2"/>
        <v>7.6391375860257568E-4</v>
      </c>
      <c r="X77" s="171">
        <f t="shared" si="6"/>
        <v>8.9736233363479592E-2</v>
      </c>
      <c r="Y77" s="171">
        <f t="shared" si="7"/>
        <v>1.5928271953192445E-3</v>
      </c>
    </row>
    <row r="78" spans="1:25" ht="20.100000000000001" customHeight="1" x14ac:dyDescent="0.3">
      <c r="M78" s="171">
        <v>64</v>
      </c>
      <c r="N78" s="171">
        <f t="shared" si="8"/>
        <v>1.1170107212763709</v>
      </c>
      <c r="O78" s="171">
        <f t="shared" si="12"/>
        <v>0.47754412476088975</v>
      </c>
      <c r="P78" s="171">
        <f t="shared" ref="P78:P109" si="14">(Vacmin*SIN(N78)-(Vout+Vdf))*(Vacmin*SIN(N78)-(Vout+Vdf)&gt;0)</f>
        <v>66.408673005647358</v>
      </c>
      <c r="Q78" s="171">
        <f t="shared" si="13"/>
        <v>1.1683229598633553</v>
      </c>
      <c r="T78" s="171">
        <f t="shared" ref="T78:T109" si="15">P78*Iout/1000*2*PI()/integral</f>
        <v>0.52760302749536769</v>
      </c>
      <c r="U78" s="171">
        <f t="shared" si="5"/>
        <v>4.4310516206400141E-2</v>
      </c>
      <c r="V78" s="171">
        <f t="shared" ref="V78:V141" si="16">(U78+U79)*PI()/180/2</f>
        <v>7.8252878760363021E-4</v>
      </c>
      <c r="X78" s="171">
        <f t="shared" si="6"/>
        <v>9.2788318207425904E-2</v>
      </c>
      <c r="Y78" s="171">
        <f t="shared" si="7"/>
        <v>1.6455819392504052E-3</v>
      </c>
    </row>
    <row r="79" spans="1:25" ht="20.100000000000001" customHeight="1" x14ac:dyDescent="0.3">
      <c r="M79" s="171">
        <v>65</v>
      </c>
      <c r="N79" s="171">
        <f t="shared" si="8"/>
        <v>1.1344640137963142</v>
      </c>
      <c r="O79" s="171">
        <f t="shared" ref="O79:O110" si="17">IF((Vout+Vdf)/Vacmin/SIN(N79)&gt;1,1,(Vout+Vdf)/Vacmin/SIN(N79))</f>
        <v>0.47358504728689649</v>
      </c>
      <c r="P79" s="171">
        <f t="shared" si="14"/>
        <v>67.471276411157717</v>
      </c>
      <c r="Q79" s="171">
        <f t="shared" si="13"/>
        <v>1.1865281803554382</v>
      </c>
      <c r="T79" s="171">
        <f t="shared" si="15"/>
        <v>0.53604518946608615</v>
      </c>
      <c r="U79" s="171">
        <f t="shared" ref="U79:U112" si="18">T79^2*O79/3</f>
        <v>4.5360677547954316E-2</v>
      </c>
      <c r="V79" s="171">
        <f t="shared" si="16"/>
        <v>8.0056250143669663E-4</v>
      </c>
      <c r="X79" s="171">
        <f t="shared" ref="X79:X142" si="19">T79^2/3</f>
        <v>9.5781481716577396E-2</v>
      </c>
      <c r="Y79" s="171">
        <f t="shared" ref="Y79:Y142" si="20">(X79+X80)*PI()/180/2</f>
        <v>1.6972548461321195E-3</v>
      </c>
    </row>
    <row r="80" spans="1:25" ht="20.100000000000001" customHeight="1" x14ac:dyDescent="0.3">
      <c r="M80" s="171">
        <v>66</v>
      </c>
      <c r="N80" s="171">
        <f t="shared" ref="N80:N143" si="21">PI()/180*M80</f>
        <v>1.1519173063162575</v>
      </c>
      <c r="O80" s="171">
        <f t="shared" si="17"/>
        <v>0.46983301442691017</v>
      </c>
      <c r="P80" s="171">
        <f t="shared" si="14"/>
        <v>68.494837604250208</v>
      </c>
      <c r="Q80" s="171">
        <f t="shared" si="13"/>
        <v>1.2040492648417205</v>
      </c>
      <c r="T80" s="171">
        <f t="shared" si="15"/>
        <v>0.54417716921903858</v>
      </c>
      <c r="U80" s="171">
        <f t="shared" si="18"/>
        <v>4.6377027589562934E-2</v>
      </c>
      <c r="V80" s="171">
        <f t="shared" si="16"/>
        <v>8.1799778975775864E-4</v>
      </c>
      <c r="X80" s="171">
        <f t="shared" si="19"/>
        <v>9.8709597166415378E-2</v>
      </c>
      <c r="Y80" s="171">
        <f t="shared" si="20"/>
        <v>1.7477404712242283E-3</v>
      </c>
    </row>
    <row r="81" spans="5:25" ht="20.100000000000001" customHeight="1" x14ac:dyDescent="0.3">
      <c r="M81" s="171">
        <v>67</v>
      </c>
      <c r="N81" s="171">
        <f t="shared" si="21"/>
        <v>1.1693705988362009</v>
      </c>
      <c r="O81" s="171">
        <f t="shared" si="17"/>
        <v>0.46628088333312684</v>
      </c>
      <c r="P81" s="171">
        <f t="shared" si="14"/>
        <v>69.479044798269953</v>
      </c>
      <c r="Q81" s="171">
        <f t="shared" si="13"/>
        <v>1.2208808762301371</v>
      </c>
      <c r="T81" s="171">
        <f t="shared" si="15"/>
        <v>0.55199648967441617</v>
      </c>
      <c r="U81" s="171">
        <f t="shared" si="18"/>
        <v>4.7358614418735491E-2</v>
      </c>
      <c r="V81" s="171">
        <f t="shared" si="16"/>
        <v>8.3481851151459346E-4</v>
      </c>
      <c r="X81" s="171">
        <f t="shared" si="19"/>
        <v>0.1015667082042926</v>
      </c>
      <c r="Y81" s="171">
        <f t="shared" si="20"/>
        <v>1.7969364130152753E-3</v>
      </c>
    </row>
    <row r="82" spans="5:25" ht="20.100000000000001" customHeight="1" x14ac:dyDescent="0.3">
      <c r="M82" s="171">
        <v>68</v>
      </c>
      <c r="N82" s="171">
        <f t="shared" si="21"/>
        <v>1.1868238913561442</v>
      </c>
      <c r="O82" s="171">
        <f t="shared" si="17"/>
        <v>0.46292201278761264</v>
      </c>
      <c r="P82" s="171">
        <f t="shared" si="14"/>
        <v>70.423598194171419</v>
      </c>
      <c r="Q82" s="171">
        <f t="shared" si="13"/>
        <v>1.2370178874488076</v>
      </c>
      <c r="T82" s="171">
        <f t="shared" si="15"/>
        <v>0.55950076899146062</v>
      </c>
      <c r="U82" s="171">
        <f t="shared" si="18"/>
        <v>4.8304540319623952E-2</v>
      </c>
      <c r="V82" s="171">
        <f t="shared" si="16"/>
        <v>8.5100945039270036E-4</v>
      </c>
      <c r="X82" s="171">
        <f t="shared" si="19"/>
        <v>0.10434703683401192</v>
      </c>
      <c r="Y82" s="171">
        <f t="shared" si="20"/>
        <v>1.8447434504392434E-3</v>
      </c>
    </row>
    <row r="83" spans="5:25" ht="20.100000000000001" customHeight="1" x14ac:dyDescent="0.3">
      <c r="M83" s="171">
        <v>69</v>
      </c>
      <c r="N83" s="171">
        <f t="shared" si="21"/>
        <v>1.2042771838760873</v>
      </c>
      <c r="O83" s="171">
        <f t="shared" si="17"/>
        <v>0.45975023040130208</v>
      </c>
      <c r="P83" s="171">
        <f t="shared" si="14"/>
        <v>71.328210071840104</v>
      </c>
      <c r="Q83" s="171">
        <f t="shared" si="13"/>
        <v>1.2524553830077918</v>
      </c>
      <c r="T83" s="171">
        <f t="shared" si="15"/>
        <v>0.56668772129399614</v>
      </c>
      <c r="U83" s="171">
        <f t="shared" si="18"/>
        <v>4.9213959346875114E-2</v>
      </c>
      <c r="V83" s="171">
        <f t="shared" si="16"/>
        <v>8.6655627446330515E-4</v>
      </c>
      <c r="X83" s="171">
        <f t="shared" si="19"/>
        <v>0.10704499115512728</v>
      </c>
      <c r="Y83" s="171">
        <f t="shared" si="20"/>
        <v>1.8910656757272415E-3</v>
      </c>
    </row>
    <row r="84" spans="5:25" ht="20.100000000000001" customHeight="1" x14ac:dyDescent="0.3">
      <c r="M84" s="171">
        <v>70</v>
      </c>
      <c r="N84" s="171">
        <f t="shared" si="21"/>
        <v>1.2217304763960306</v>
      </c>
      <c r="O84" s="171">
        <f t="shared" si="17"/>
        <v>0.45675980281856743</v>
      </c>
      <c r="P84" s="171">
        <f t="shared" si="14"/>
        <v>72.192604877734922</v>
      </c>
      <c r="Q84" s="171">
        <f t="shared" si="13"/>
        <v>1.2671886604963969</v>
      </c>
      <c r="T84" s="171">
        <f t="shared" si="15"/>
        <v>0.57355515736673013</v>
      </c>
      <c r="U84" s="171">
        <f t="shared" si="18"/>
        <v>5.0086075127780037E-2</v>
      </c>
      <c r="V84" s="171">
        <f t="shared" si="16"/>
        <v>8.8144549962340777E-4</v>
      </c>
      <c r="X84" s="171">
        <f t="shared" si="19"/>
        <v>0.10965517284732486</v>
      </c>
      <c r="Y84" s="171">
        <f t="shared" si="20"/>
        <v>1.935810622728638E-3</v>
      </c>
    </row>
    <row r="85" spans="5:25" ht="20.100000000000001" customHeight="1" x14ac:dyDescent="0.3">
      <c r="M85" s="171">
        <v>71</v>
      </c>
      <c r="N85" s="171">
        <f t="shared" si="21"/>
        <v>1.2391837689159739</v>
      </c>
      <c r="O85" s="171">
        <f t="shared" si="17"/>
        <v>0.45394540864326993</v>
      </c>
      <c r="P85" s="171">
        <f t="shared" si="14"/>
        <v>73.016519308824442</v>
      </c>
      <c r="Q85" s="171">
        <f t="shared" si="13"/>
        <v>1.2812132320155749</v>
      </c>
      <c r="T85" s="171">
        <f t="shared" si="15"/>
        <v>0.58010098532210852</v>
      </c>
      <c r="U85" s="171">
        <f t="shared" si="18"/>
        <v>5.0920138870662886E-2</v>
      </c>
      <c r="V85" s="171">
        <f t="shared" si="16"/>
        <v>8.956644564648837E-4</v>
      </c>
      <c r="X85" s="171">
        <f t="shared" si="19"/>
        <v>0.11217238439056039</v>
      </c>
      <c r="Y85" s="171">
        <f t="shared" si="20"/>
        <v>1.9788893905417996E-3</v>
      </c>
    </row>
    <row r="86" spans="5:25" ht="20.100000000000001" customHeight="1" x14ac:dyDescent="0.3">
      <c r="M86" s="171">
        <v>72</v>
      </c>
      <c r="N86" s="171">
        <f t="shared" si="21"/>
        <v>1.2566370614359172</v>
      </c>
      <c r="O86" s="171">
        <f t="shared" si="17"/>
        <v>0.45130211383466401</v>
      </c>
      <c r="P86" s="171">
        <f t="shared" si="14"/>
        <v>73.799702392791474</v>
      </c>
      <c r="Q86" s="171">
        <f t="shared" si="13"/>
        <v>1.2945248255449813</v>
      </c>
      <c r="T86" s="171">
        <f t="shared" si="15"/>
        <v>0.58632321123752529</v>
      </c>
      <c r="U86" s="171">
        <f t="shared" si="18"/>
        <v>5.1715447559970512E-2</v>
      </c>
      <c r="V86" s="171">
        <f t="shared" si="16"/>
        <v>9.09201260250924E-4</v>
      </c>
      <c r="X86" s="171">
        <f t="shared" si="19"/>
        <v>0.11459163601196122</v>
      </c>
      <c r="Y86" s="171">
        <f t="shared" si="20"/>
        <v>2.0202167623004784E-3</v>
      </c>
    </row>
    <row r="87" spans="5:25" ht="20.100000000000001" customHeight="1" x14ac:dyDescent="0.3">
      <c r="M87" s="171">
        <v>73</v>
      </c>
      <c r="N87" s="171">
        <f t="shared" si="21"/>
        <v>1.2740903539558606</v>
      </c>
      <c r="O87" s="171">
        <f t="shared" si="17"/>
        <v>0.44882534935006113</v>
      </c>
      <c r="P87" s="171">
        <f t="shared" si="14"/>
        <v>74.541915564481755</v>
      </c>
      <c r="Q87" s="171">
        <f t="shared" si="13"/>
        <v>1.307119386244276</v>
      </c>
      <c r="T87" s="171">
        <f t="shared" si="15"/>
        <v>0.59221993976268972</v>
      </c>
      <c r="U87" s="171">
        <f t="shared" si="18"/>
        <v>5.2471342320736518E-2</v>
      </c>
      <c r="V87" s="171">
        <f t="shared" si="16"/>
        <v>9.2204478371445641E-4</v>
      </c>
      <c r="X87" s="171">
        <f t="shared" si="19"/>
        <v>0.11690815235084129</v>
      </c>
      <c r="Y87" s="171">
        <f t="shared" si="20"/>
        <v>2.0597113189679333E-3</v>
      </c>
    </row>
    <row r="88" spans="5:25" ht="20.100000000000001" customHeight="1" x14ac:dyDescent="0.3">
      <c r="M88" s="171">
        <v>74</v>
      </c>
      <c r="N88" s="171">
        <f t="shared" si="21"/>
        <v>1.2915436464758039</v>
      </c>
      <c r="O88" s="171">
        <f t="shared" si="17"/>
        <v>0.44651089083630319</v>
      </c>
      <c r="P88" s="171">
        <f t="shared" si="14"/>
        <v>75.242932738573288</v>
      </c>
      <c r="Q88" s="171">
        <f t="shared" si="13"/>
        <v>1.318993077688263</v>
      </c>
      <c r="T88" s="171">
        <f t="shared" si="15"/>
        <v>0.59778937469697158</v>
      </c>
      <c r="U88" s="171">
        <f t="shared" si="18"/>
        <v>5.3187206937045817E-2</v>
      </c>
      <c r="V88" s="171">
        <f t="shared" si="16"/>
        <v>9.341846324252308E-4</v>
      </c>
      <c r="X88" s="171">
        <f t="shared" si="19"/>
        <v>0.11911737883353209</v>
      </c>
      <c r="Y88" s="171">
        <f t="shared" si="20"/>
        <v>2.0972955479970938E-3</v>
      </c>
    </row>
    <row r="89" spans="5:25" ht="20.100000000000001" customHeight="1" x14ac:dyDescent="0.3">
      <c r="M89" s="171">
        <v>75</v>
      </c>
      <c r="N89" s="171">
        <f t="shared" si="21"/>
        <v>1.3089969389957472</v>
      </c>
      <c r="O89" s="171">
        <f t="shared" si="17"/>
        <v>0.44435484019430849</v>
      </c>
      <c r="P89" s="171">
        <f t="shared" si="14"/>
        <v>75.902540378443874</v>
      </c>
      <c r="Q89" s="171">
        <f t="shared" si="13"/>
        <v>1.3301422830355054</v>
      </c>
      <c r="T89" s="171">
        <f t="shared" si="15"/>
        <v>0.60302981953653634</v>
      </c>
      <c r="U89" s="171">
        <f t="shared" si="18"/>
        <v>5.3862466510845947E-2</v>
      </c>
      <c r="V89" s="171">
        <f t="shared" si="16"/>
        <v>9.4561112250063297E-4</v>
      </c>
      <c r="X89" s="171">
        <f t="shared" si="19"/>
        <v>0.1212149877500892</v>
      </c>
      <c r="Y89" s="171">
        <f t="shared" si="20"/>
        <v>2.132895946721509E-3</v>
      </c>
    </row>
    <row r="90" spans="5:25" ht="20.100000000000001" customHeight="1" x14ac:dyDescent="0.3">
      <c r="E90" s="12">
        <f>0.15/0.21</f>
        <v>0.7142857142857143</v>
      </c>
      <c r="M90" s="171">
        <v>76</v>
      </c>
      <c r="N90" s="171">
        <f t="shared" si="21"/>
        <v>1.3264502315156905</v>
      </c>
      <c r="O90" s="171">
        <f t="shared" si="17"/>
        <v>0.44235360886063135</v>
      </c>
      <c r="P90" s="171">
        <f t="shared" si="14"/>
        <v>76.520537561216642</v>
      </c>
      <c r="Q90" s="171">
        <f t="shared" si="13"/>
        <v>1.3405636061300499</v>
      </c>
      <c r="T90" s="171">
        <f t="shared" si="15"/>
        <v>0.60793967799112092</v>
      </c>
      <c r="U90" s="171">
        <f t="shared" si="18"/>
        <v>5.449658624898316E-2</v>
      </c>
      <c r="V90" s="171">
        <f t="shared" si="16"/>
        <v>9.5631526046045139E-4</v>
      </c>
      <c r="X90" s="171">
        <f t="shared" si="19"/>
        <v>0.12319688402531592</v>
      </c>
      <c r="Y90" s="171">
        <f t="shared" si="20"/>
        <v>2.1664431203484006E-3</v>
      </c>
    </row>
    <row r="91" spans="5:25" ht="20.100000000000001" customHeight="1" x14ac:dyDescent="0.3">
      <c r="M91" s="171">
        <v>77</v>
      </c>
      <c r="N91" s="171">
        <f t="shared" si="21"/>
        <v>1.3439035240356338</v>
      </c>
      <c r="O91" s="171">
        <f t="shared" si="17"/>
        <v>0.44050390266745221</v>
      </c>
      <c r="P91" s="171">
        <f t="shared" si="14"/>
        <v>77.096736038963101</v>
      </c>
      <c r="Q91" s="171">
        <f t="shared" si="13"/>
        <v>1.3502538725359281</v>
      </c>
      <c r="T91" s="171">
        <f t="shared" si="15"/>
        <v>0.6125174544702775</v>
      </c>
      <c r="U91" s="171">
        <f t="shared" si="18"/>
        <v>5.5089070367692679E-2</v>
      </c>
      <c r="V91" s="171">
        <f t="shared" si="16"/>
        <v>9.6628872504818906E-4</v>
      </c>
      <c r="X91" s="171">
        <f t="shared" si="19"/>
        <v>0.12505921067691617</v>
      </c>
      <c r="Y91" s="171">
        <f t="shared" si="20"/>
        <v>2.1978718744318265E-3</v>
      </c>
    </row>
    <row r="92" spans="5:25" ht="20.100000000000001" customHeight="1" x14ac:dyDescent="0.3">
      <c r="M92" s="171">
        <v>78</v>
      </c>
      <c r="N92" s="171">
        <f t="shared" si="21"/>
        <v>1.3613568165555769</v>
      </c>
      <c r="O92" s="171">
        <f t="shared" si="17"/>
        <v>0.43880270815799016</v>
      </c>
      <c r="P92" s="171">
        <f t="shared" si="14"/>
        <v>77.630960296045103</v>
      </c>
      <c r="Q92" s="171">
        <f t="shared" si="13"/>
        <v>1.3592101305041213</v>
      </c>
      <c r="T92" s="171">
        <f t="shared" si="15"/>
        <v>0.61676175453894411</v>
      </c>
      <c r="U92" s="171">
        <f t="shared" si="18"/>
        <v>5.5639461104984272E-2</v>
      </c>
      <c r="V92" s="171">
        <f t="shared" si="16"/>
        <v>9.7552385086151466E-4</v>
      </c>
      <c r="X92" s="171">
        <f t="shared" si="19"/>
        <v>0.12679835395398559</v>
      </c>
      <c r="Y92" s="171">
        <f t="shared" si="20"/>
        <v>2.2271213017109053E-3</v>
      </c>
    </row>
    <row r="93" spans="5:25" ht="20.100000000000001" customHeight="1" x14ac:dyDescent="0.3">
      <c r="E93" s="12">
        <v>0.21</v>
      </c>
      <c r="F93" s="2">
        <f>E94/2/E93</f>
        <v>0.7142857142857143</v>
      </c>
      <c r="M93" s="171">
        <v>79</v>
      </c>
      <c r="N93" s="171">
        <f t="shared" si="21"/>
        <v>1.3788101090755203</v>
      </c>
      <c r="O93" s="171">
        <f t="shared" si="17"/>
        <v>0.43724728024824316</v>
      </c>
      <c r="P93" s="171">
        <f t="shared" si="14"/>
        <v>78.123047602578865</v>
      </c>
      <c r="Q93" s="171">
        <f t="shared" si="13"/>
        <v>1.3674296518716911</v>
      </c>
      <c r="T93" s="171">
        <f t="shared" si="15"/>
        <v>0.62067128534220495</v>
      </c>
      <c r="U93" s="171">
        <f t="shared" si="18"/>
        <v>5.6147337832444418E-2</v>
      </c>
      <c r="V93" s="171">
        <f t="shared" si="16"/>
        <v>9.8401361365230665E-4</v>
      </c>
      <c r="X93" s="171">
        <f t="shared" si="19"/>
        <v>0.12841094814944826</v>
      </c>
      <c r="Y93" s="171">
        <f t="shared" si="20"/>
        <v>2.2541348632050383E-3</v>
      </c>
    </row>
    <row r="94" spans="5:25" ht="20.100000000000001" customHeight="1" x14ac:dyDescent="0.3">
      <c r="E94" s="12">
        <v>0.3</v>
      </c>
      <c r="M94" s="171">
        <v>80</v>
      </c>
      <c r="N94" s="171">
        <f t="shared" si="21"/>
        <v>1.3962634015954636</v>
      </c>
      <c r="O94" s="171">
        <f t="shared" si="17"/>
        <v>0.43583513113844635</v>
      </c>
      <c r="P94" s="171">
        <f t="shared" si="14"/>
        <v>78.572848064003793</v>
      </c>
      <c r="Q94" s="171">
        <f t="shared" si="13"/>
        <v>1.3749099328928045</v>
      </c>
      <c r="T94" s="171">
        <f t="shared" si="15"/>
        <v>0.62424485599910429</v>
      </c>
      <c r="U94" s="171">
        <f t="shared" si="18"/>
        <v>5.6612316258943453E-2</v>
      </c>
      <c r="V94" s="171">
        <f t="shared" si="16"/>
        <v>9.917516171728312E-4</v>
      </c>
      <c r="X94" s="171">
        <f t="shared" si="19"/>
        <v>0.12989388008044747</v>
      </c>
      <c r="Y94" s="171">
        <f t="shared" si="20"/>
        <v>2.2788604634652191E-3</v>
      </c>
    </row>
    <row r="95" spans="5:25" ht="20.100000000000001" customHeight="1" x14ac:dyDescent="0.3">
      <c r="E95" s="12">
        <v>1.2</v>
      </c>
      <c r="M95" s="171">
        <v>81</v>
      </c>
      <c r="N95" s="171">
        <f t="shared" si="21"/>
        <v>1.4137166941154069</v>
      </c>
      <c r="O95" s="171">
        <f t="shared" si="17"/>
        <v>0.43456402038886971</v>
      </c>
      <c r="P95" s="171">
        <f t="shared" si="14"/>
        <v>78.980224666742075</v>
      </c>
      <c r="Q95" s="171">
        <f>(P95+P96)*PI()/180/2</f>
        <v>1.3816486950013991</v>
      </c>
      <c r="T95" s="171">
        <f t="shared" si="15"/>
        <v>0.62748137796540249</v>
      </c>
      <c r="U95" s="171">
        <f t="shared" si="18"/>
        <v>5.7034047719611271E-2</v>
      </c>
      <c r="V95" s="171">
        <f t="shared" si="16"/>
        <v>9.9873208145908493E-4</v>
      </c>
      <c r="X95" s="171">
        <f t="shared" si="19"/>
        <v>0.13124429323112011</v>
      </c>
      <c r="Y95" s="171">
        <f t="shared" si="20"/>
        <v>2.3012505198878206E-3</v>
      </c>
    </row>
    <row r="96" spans="5:25" ht="20.100000000000001" customHeight="1" x14ac:dyDescent="0.3">
      <c r="E96" s="12">
        <v>1.6</v>
      </c>
      <c r="M96" s="171">
        <v>82</v>
      </c>
      <c r="N96" s="171">
        <f t="shared" si="21"/>
        <v>1.4311699866353502</v>
      </c>
      <c r="O96" s="171">
        <f t="shared" si="17"/>
        <v>0.4334319460847384</v>
      </c>
      <c r="P96" s="171">
        <f t="shared" si="14"/>
        <v>79.345053319934109</v>
      </c>
      <c r="Q96" s="171">
        <f>(P96+P97)*PI()/180/2</f>
        <v>1.3876438855052571</v>
      </c>
      <c r="T96" s="171">
        <f t="shared" si="15"/>
        <v>0.63037986536515545</v>
      </c>
      <c r="U96" s="171">
        <f t="shared" si="18"/>
        <v>5.7412218544231758E-2</v>
      </c>
      <c r="V96" s="171">
        <f t="shared" si="16"/>
        <v>1.0049498324554746E-3</v>
      </c>
      <c r="X96" s="171">
        <f t="shared" si="19"/>
        <v>0.13245959155259715</v>
      </c>
      <c r="Y96" s="171">
        <f t="shared" si="20"/>
        <v>2.3212620260046257E-3</v>
      </c>
    </row>
    <row r="97" spans="5:25" ht="20.100000000000001" customHeight="1" x14ac:dyDescent="0.3">
      <c r="E97" s="12">
        <f>E95*E96/(E95+E96)</f>
        <v>0.68571428571428572</v>
      </c>
      <c r="I97" s="169">
        <f>1.6/27*75+1.6</f>
        <v>6.0444444444444443</v>
      </c>
      <c r="M97" s="171">
        <v>83</v>
      </c>
      <c r="N97" s="171">
        <f t="shared" si="21"/>
        <v>1.4486232791552935</v>
      </c>
      <c r="O97" s="171">
        <f t="shared" si="17"/>
        <v>0.43243713702427417</v>
      </c>
      <c r="P97" s="171">
        <f t="shared" si="14"/>
        <v>79.667222893238019</v>
      </c>
      <c r="Q97" s="171">
        <f t="shared" ref="Q97:Q113" si="22">(P97+P98)*PI()/180/2</f>
        <v>1.3928936782112746</v>
      </c>
      <c r="T97" s="171">
        <f t="shared" si="15"/>
        <v>0.63293943529102314</v>
      </c>
      <c r="U97" s="171">
        <f t="shared" si="18"/>
        <v>5.7746549499924034E-2</v>
      </c>
      <c r="V97" s="171">
        <f t="shared" si="16"/>
        <v>1.0104002928969552E-3</v>
      </c>
      <c r="X97" s="171">
        <f t="shared" si="19"/>
        <v>0.13353744291550643</v>
      </c>
      <c r="Y97" s="171">
        <f t="shared" si="20"/>
        <v>2.3388566086703744E-3</v>
      </c>
    </row>
    <row r="98" spans="5:25" ht="20.100000000000001" customHeight="1" x14ac:dyDescent="0.3">
      <c r="M98" s="171">
        <v>84</v>
      </c>
      <c r="N98" s="171">
        <f t="shared" si="21"/>
        <v>1.4660765716752369</v>
      </c>
      <c r="O98" s="171">
        <f t="shared" si="17"/>
        <v>0.43157804587227883</v>
      </c>
      <c r="P98" s="171">
        <f t="shared" si="14"/>
        <v>79.946635250680842</v>
      </c>
      <c r="Q98" s="171">
        <f t="shared" si="22"/>
        <v>1.3973964739817373</v>
      </c>
      <c r="T98" s="171">
        <f t="shared" si="15"/>
        <v>0.63515930807321097</v>
      </c>
      <c r="U98" s="171">
        <f t="shared" si="18"/>
        <v>5.8036795303631449E-2</v>
      </c>
      <c r="V98" s="171">
        <f t="shared" si="16"/>
        <v>1.0150794743757094E-3</v>
      </c>
      <c r="X98" s="171">
        <f t="shared" si="19"/>
        <v>0.13447578221068004</v>
      </c>
      <c r="Y98" s="171">
        <f t="shared" si="20"/>
        <v>2.35400057907669E-3</v>
      </c>
    </row>
    <row r="99" spans="5:25" ht="20.100000000000001" customHeight="1" x14ac:dyDescent="0.3">
      <c r="M99" s="171">
        <v>85</v>
      </c>
      <c r="N99" s="171">
        <f t="shared" si="21"/>
        <v>1.4835298641951802</v>
      </c>
      <c r="O99" s="171">
        <f t="shared" si="17"/>
        <v>0.430853343229403</v>
      </c>
      <c r="P99" s="171">
        <f t="shared" si="14"/>
        <v>80.183205280551746</v>
      </c>
      <c r="Q99" s="171">
        <f t="shared" si="22"/>
        <v>1.4011509012214334</v>
      </c>
      <c r="T99" s="171">
        <f t="shared" si="15"/>
        <v>0.63703880751696496</v>
      </c>
      <c r="U99" s="171">
        <f t="shared" si="18"/>
        <v>5.8282744200540852E-2</v>
      </c>
      <c r="V99" s="171">
        <f t="shared" si="16"/>
        <v>1.0189839705295202E-3</v>
      </c>
      <c r="X99" s="171">
        <f t="shared" si="19"/>
        <v>0.13527281409421224</v>
      </c>
      <c r="Y99" s="171">
        <f t="shared" si="20"/>
        <v>2.3666649775289411E-3</v>
      </c>
    </row>
    <row r="100" spans="5:25" ht="20.100000000000001" customHeight="1" x14ac:dyDescent="0.3">
      <c r="I100" s="169">
        <f>15*1.6/70*150</f>
        <v>51.428571428571431</v>
      </c>
      <c r="M100" s="171">
        <v>86</v>
      </c>
      <c r="N100" s="171">
        <f t="shared" si="21"/>
        <v>1.5009831567151235</v>
      </c>
      <c r="O100" s="171">
        <f t="shared" si="17"/>
        <v>0.43026191257437746</v>
      </c>
      <c r="P100" s="171">
        <f t="shared" si="14"/>
        <v>80.376860921327918</v>
      </c>
      <c r="Q100" s="171">
        <f t="shared" si="22"/>
        <v>1.4041558162954562</v>
      </c>
      <c r="T100" s="171">
        <f t="shared" si="15"/>
        <v>0.63857736110854746</v>
      </c>
      <c r="U100" s="171">
        <f t="shared" si="18"/>
        <v>5.8484217605108295E-2</v>
      </c>
      <c r="V100" s="171">
        <f t="shared" si="16"/>
        <v>1.0221109512983306E-3</v>
      </c>
      <c r="X100" s="171">
        <f t="shared" si="19"/>
        <v>0.13592701537345206</v>
      </c>
      <c r="Y100" s="171">
        <f t="shared" si="20"/>
        <v>2.3768256119303436E-3</v>
      </c>
    </row>
    <row r="101" spans="5:25" ht="20.100000000000001" customHeight="1" x14ac:dyDescent="0.3">
      <c r="E101" s="12">
        <f>114*16/36</f>
        <v>50.666666666666664</v>
      </c>
      <c r="M101" s="171">
        <v>87</v>
      </c>
      <c r="N101" s="171">
        <f t="shared" si="21"/>
        <v>1.5184364492350666</v>
      </c>
      <c r="O101" s="171">
        <f t="shared" si="17"/>
        <v>0.42980284604312169</v>
      </c>
      <c r="P101" s="171">
        <f t="shared" si="14"/>
        <v>80.527543183625241</v>
      </c>
      <c r="Q101" s="171">
        <f t="shared" si="22"/>
        <v>1.406410303877565</v>
      </c>
      <c r="T101" s="171">
        <f t="shared" si="15"/>
        <v>0.63977450018963045</v>
      </c>
      <c r="U101" s="171">
        <f t="shared" si="18"/>
        <v>5.8641069801883633E-2</v>
      </c>
      <c r="V101" s="171">
        <f t="shared" si="16"/>
        <v>1.024458158204211E-3</v>
      </c>
      <c r="X101" s="171">
        <f t="shared" si="19"/>
        <v>0.1364371370309638</v>
      </c>
      <c r="Y101" s="171">
        <f t="shared" si="20"/>
        <v>2.384463089925435E-3</v>
      </c>
    </row>
    <row r="102" spans="5:25" ht="20.100000000000001" customHeight="1" x14ac:dyDescent="0.3">
      <c r="M102" s="171">
        <v>88</v>
      </c>
      <c r="N102" s="171">
        <f t="shared" si="21"/>
        <v>1.5358897417550099</v>
      </c>
      <c r="O102" s="171">
        <f t="shared" si="17"/>
        <v>0.42947544101486251</v>
      </c>
      <c r="P102" s="171">
        <f t="shared" si="14"/>
        <v>80.635206168166903</v>
      </c>
      <c r="Q102" s="171">
        <f t="shared" si="22"/>
        <v>1.4079136772290024</v>
      </c>
      <c r="T102" s="171">
        <f t="shared" si="15"/>
        <v>0.64062986010005252</v>
      </c>
      <c r="U102" s="171">
        <f t="shared" si="18"/>
        <v>5.8753187703810127E-2</v>
      </c>
      <c r="V102" s="171">
        <f t="shared" si="16"/>
        <v>1.0260239006181706E-3</v>
      </c>
      <c r="X102" s="171">
        <f t="shared" si="19"/>
        <v>0.13680220588393763</v>
      </c>
      <c r="Y102" s="171">
        <f t="shared" si="20"/>
        <v>2.3895628446629611E-3</v>
      </c>
    </row>
    <row r="103" spans="5:25" ht="20.100000000000001" customHeight="1" x14ac:dyDescent="0.3">
      <c r="M103" s="171">
        <v>89</v>
      </c>
      <c r="N103" s="171">
        <f t="shared" si="21"/>
        <v>1.5533430342749532</v>
      </c>
      <c r="O103" s="171">
        <f t="shared" si="17"/>
        <v>0.42927919748127125</v>
      </c>
      <c r="P103" s="171">
        <f t="shared" si="14"/>
        <v>80.699817079764856</v>
      </c>
      <c r="Q103" s="171">
        <f t="shared" si="22"/>
        <v>1.4086654784076822</v>
      </c>
      <c r="T103" s="171">
        <f t="shared" si="15"/>
        <v>0.64114318028889927</v>
      </c>
      <c r="U103" s="171">
        <f t="shared" si="18"/>
        <v>5.8820490666132652E-2</v>
      </c>
      <c r="V103" s="171">
        <f t="shared" si="16"/>
        <v>1.0268070529850246E-3</v>
      </c>
      <c r="X103" s="171">
        <f t="shared" si="19"/>
        <v>0.13702152587698799</v>
      </c>
      <c r="Y103" s="171">
        <f t="shared" si="20"/>
        <v>2.3921151541461219E-3</v>
      </c>
    </row>
    <row r="104" spans="5:25" ht="20.100000000000001" customHeight="1" x14ac:dyDescent="0.3">
      <c r="M104" s="171">
        <v>90</v>
      </c>
      <c r="N104" s="171">
        <f t="shared" si="21"/>
        <v>1.5707963267948966</v>
      </c>
      <c r="O104" s="171">
        <f t="shared" si="17"/>
        <v>0.42921381618023435</v>
      </c>
      <c r="P104" s="171">
        <f t="shared" si="14"/>
        <v>80.721356237309507</v>
      </c>
      <c r="Q104" s="171">
        <f t="shared" si="22"/>
        <v>1.4086654784076822</v>
      </c>
      <c r="T104" s="171">
        <f t="shared" si="15"/>
        <v>0.64131430439386805</v>
      </c>
      <c r="U104" s="171">
        <f t="shared" si="18"/>
        <v>5.8842930354482965E-2</v>
      </c>
      <c r="V104" s="171">
        <f t="shared" si="16"/>
        <v>1.0268070529850246E-3</v>
      </c>
      <c r="X104" s="171">
        <f t="shared" si="19"/>
        <v>0.13709467900673028</v>
      </c>
      <c r="Y104" s="171">
        <f t="shared" si="20"/>
        <v>2.3921151541461219E-3</v>
      </c>
    </row>
    <row r="105" spans="5:25" ht="20.100000000000001" customHeight="1" x14ac:dyDescent="0.3">
      <c r="M105" s="171">
        <v>91</v>
      </c>
      <c r="N105" s="171">
        <f t="shared" si="21"/>
        <v>1.5882496193148399</v>
      </c>
      <c r="O105" s="171">
        <f t="shared" si="17"/>
        <v>0.42927919748127125</v>
      </c>
      <c r="P105" s="171">
        <f t="shared" si="14"/>
        <v>80.699817079764856</v>
      </c>
      <c r="Q105" s="171">
        <f t="shared" si="22"/>
        <v>1.4079136772290024</v>
      </c>
      <c r="T105" s="171">
        <f t="shared" si="15"/>
        <v>0.64114318028889927</v>
      </c>
      <c r="U105" s="171">
        <f t="shared" si="18"/>
        <v>5.8820490666132652E-2</v>
      </c>
      <c r="V105" s="171">
        <f t="shared" si="16"/>
        <v>1.0260239006181706E-3</v>
      </c>
      <c r="X105" s="171">
        <f t="shared" si="19"/>
        <v>0.13702152587698799</v>
      </c>
      <c r="Y105" s="171">
        <f t="shared" si="20"/>
        <v>2.3895628446629611E-3</v>
      </c>
    </row>
    <row r="106" spans="5:25" ht="20.100000000000001" customHeight="1" x14ac:dyDescent="0.3">
      <c r="E106" s="12">
        <f>1.2/27*75</f>
        <v>3.3333333333333335</v>
      </c>
      <c r="M106" s="171">
        <v>92</v>
      </c>
      <c r="N106" s="171">
        <f t="shared" si="21"/>
        <v>1.6057029118347832</v>
      </c>
      <c r="O106" s="171">
        <f t="shared" si="17"/>
        <v>0.42947544101486251</v>
      </c>
      <c r="P106" s="171">
        <f t="shared" si="14"/>
        <v>80.635206168166903</v>
      </c>
      <c r="Q106" s="171">
        <f t="shared" si="22"/>
        <v>1.406410303877565</v>
      </c>
      <c r="T106" s="171">
        <f t="shared" si="15"/>
        <v>0.64062986010005252</v>
      </c>
      <c r="U106" s="171">
        <f t="shared" si="18"/>
        <v>5.8753187703810127E-2</v>
      </c>
      <c r="V106" s="171">
        <f t="shared" si="16"/>
        <v>1.024458158204211E-3</v>
      </c>
      <c r="X106" s="171">
        <f t="shared" si="19"/>
        <v>0.13680220588393763</v>
      </c>
      <c r="Y106" s="171">
        <f t="shared" si="20"/>
        <v>2.384463089925435E-3</v>
      </c>
    </row>
    <row r="107" spans="5:25" ht="20.100000000000001" customHeight="1" x14ac:dyDescent="0.3">
      <c r="M107" s="171">
        <v>93</v>
      </c>
      <c r="N107" s="171">
        <f t="shared" si="21"/>
        <v>1.6231562043547265</v>
      </c>
      <c r="O107" s="171">
        <f t="shared" si="17"/>
        <v>0.42980284604312169</v>
      </c>
      <c r="P107" s="171">
        <f t="shared" si="14"/>
        <v>80.527543183625241</v>
      </c>
      <c r="Q107" s="171">
        <f t="shared" si="22"/>
        <v>1.4041558162954562</v>
      </c>
      <c r="T107" s="171">
        <f t="shared" si="15"/>
        <v>0.63977450018963045</v>
      </c>
      <c r="U107" s="171">
        <f t="shared" si="18"/>
        <v>5.8641069801883633E-2</v>
      </c>
      <c r="V107" s="171">
        <f t="shared" si="16"/>
        <v>1.0221109512983306E-3</v>
      </c>
      <c r="X107" s="171">
        <f t="shared" si="19"/>
        <v>0.1364371370309638</v>
      </c>
      <c r="Y107" s="171">
        <f t="shared" si="20"/>
        <v>2.3768256119303436E-3</v>
      </c>
    </row>
    <row r="108" spans="5:25" ht="20.100000000000001" customHeight="1" x14ac:dyDescent="0.3">
      <c r="M108" s="171">
        <v>94</v>
      </c>
      <c r="N108" s="171">
        <f t="shared" si="21"/>
        <v>1.6406094968746698</v>
      </c>
      <c r="O108" s="171">
        <f t="shared" si="17"/>
        <v>0.43026191257437746</v>
      </c>
      <c r="P108" s="171">
        <f t="shared" si="14"/>
        <v>80.376860921327918</v>
      </c>
      <c r="Q108" s="171">
        <f t="shared" si="22"/>
        <v>1.4011509012214334</v>
      </c>
      <c r="T108" s="171">
        <f t="shared" si="15"/>
        <v>0.63857736110854746</v>
      </c>
      <c r="U108" s="171">
        <f t="shared" si="18"/>
        <v>5.8484217605108295E-2</v>
      </c>
      <c r="V108" s="171">
        <f t="shared" si="16"/>
        <v>1.0189839705295202E-3</v>
      </c>
      <c r="X108" s="171">
        <f t="shared" si="19"/>
        <v>0.13592701537345206</v>
      </c>
      <c r="Y108" s="171">
        <f t="shared" si="20"/>
        <v>2.3666649775289411E-3</v>
      </c>
    </row>
    <row r="109" spans="5:25" ht="20.100000000000001" customHeight="1" x14ac:dyDescent="0.3">
      <c r="M109" s="171">
        <v>95</v>
      </c>
      <c r="N109" s="171">
        <f t="shared" si="21"/>
        <v>1.6580627893946132</v>
      </c>
      <c r="O109" s="171">
        <f t="shared" si="17"/>
        <v>0.430853343229403</v>
      </c>
      <c r="P109" s="171">
        <f t="shared" si="14"/>
        <v>80.183205280551746</v>
      </c>
      <c r="Q109" s="171">
        <f t="shared" si="22"/>
        <v>1.3973964739817373</v>
      </c>
      <c r="T109" s="171">
        <f t="shared" si="15"/>
        <v>0.63703880751696496</v>
      </c>
      <c r="U109" s="171">
        <f t="shared" si="18"/>
        <v>5.8282744200540852E-2</v>
      </c>
      <c r="V109" s="171">
        <f t="shared" si="16"/>
        <v>1.0150794743757094E-3</v>
      </c>
      <c r="X109" s="171">
        <f t="shared" si="19"/>
        <v>0.13527281409421224</v>
      </c>
      <c r="Y109" s="171">
        <f t="shared" si="20"/>
        <v>2.35400057907669E-3</v>
      </c>
    </row>
    <row r="110" spans="5:25" ht="20.100000000000001" customHeight="1" x14ac:dyDescent="0.3">
      <c r="M110" s="171">
        <v>96</v>
      </c>
      <c r="N110" s="171">
        <f t="shared" si="21"/>
        <v>1.6755160819145565</v>
      </c>
      <c r="O110" s="171">
        <f t="shared" si="17"/>
        <v>0.43157804587227883</v>
      </c>
      <c r="P110" s="171">
        <f t="shared" ref="P110:P141" si="23">(Vacmin*SIN(N110)-(Vout+Vdf))*(Vacmin*SIN(N110)-(Vout+Vdf)&gt;0)</f>
        <v>79.946635250680842</v>
      </c>
      <c r="Q110" s="171">
        <f t="shared" si="22"/>
        <v>1.3928936782112749</v>
      </c>
      <c r="T110" s="171">
        <f t="shared" ref="T110:T141" si="24">P110*Iout/1000*2*PI()/integral</f>
        <v>0.63515930807321097</v>
      </c>
      <c r="U110" s="171">
        <f t="shared" si="18"/>
        <v>5.8036795303631449E-2</v>
      </c>
      <c r="V110" s="171">
        <f t="shared" si="16"/>
        <v>1.0104002928969552E-3</v>
      </c>
      <c r="X110" s="171">
        <f t="shared" si="19"/>
        <v>0.13447578221068004</v>
      </c>
      <c r="Y110" s="171">
        <f t="shared" si="20"/>
        <v>2.3388566086703748E-3</v>
      </c>
    </row>
    <row r="111" spans="5:25" ht="20.100000000000001" customHeight="1" x14ac:dyDescent="0.3">
      <c r="M111" s="171">
        <v>97</v>
      </c>
      <c r="N111" s="171">
        <f t="shared" si="21"/>
        <v>1.6929693744344996</v>
      </c>
      <c r="O111" s="171">
        <f t="shared" ref="O111:O142" si="25">IF((Vout+Vdf)/Vacmin/SIN(N111)&gt;1,1,(Vout+Vdf)/Vacmin/SIN(N111))</f>
        <v>0.43243713702427411</v>
      </c>
      <c r="P111" s="171">
        <f t="shared" si="23"/>
        <v>79.667222893238048</v>
      </c>
      <c r="Q111" s="171">
        <f t="shared" si="22"/>
        <v>1.3876438855052575</v>
      </c>
      <c r="T111" s="171">
        <f t="shared" si="24"/>
        <v>0.63293943529102326</v>
      </c>
      <c r="U111" s="171">
        <f t="shared" si="18"/>
        <v>5.7746549499924055E-2</v>
      </c>
      <c r="V111" s="171">
        <f t="shared" si="16"/>
        <v>1.0049498324554748E-3</v>
      </c>
      <c r="X111" s="171">
        <f t="shared" si="19"/>
        <v>0.13353744291550648</v>
      </c>
      <c r="Y111" s="171">
        <f t="shared" si="20"/>
        <v>2.3212620260046261E-3</v>
      </c>
    </row>
    <row r="112" spans="5:25" ht="20.100000000000001" customHeight="1" x14ac:dyDescent="0.3">
      <c r="M112" s="171">
        <v>98</v>
      </c>
      <c r="N112" s="171">
        <f t="shared" si="21"/>
        <v>1.7104226669544429</v>
      </c>
      <c r="O112" s="171">
        <f t="shared" si="25"/>
        <v>0.4334319460847384</v>
      </c>
      <c r="P112" s="171">
        <f t="shared" si="23"/>
        <v>79.345053319934109</v>
      </c>
      <c r="Q112" s="171">
        <f t="shared" si="22"/>
        <v>1.3816486950013991</v>
      </c>
      <c r="T112" s="171">
        <f t="shared" si="24"/>
        <v>0.63037986536515545</v>
      </c>
      <c r="U112" s="171">
        <f t="shared" si="18"/>
        <v>5.7412218544231758E-2</v>
      </c>
      <c r="V112" s="171">
        <f t="shared" si="16"/>
        <v>9.9873208145908493E-4</v>
      </c>
      <c r="X112" s="171">
        <f t="shared" si="19"/>
        <v>0.13245959155259715</v>
      </c>
      <c r="Y112" s="171">
        <f t="shared" si="20"/>
        <v>2.3012505198878206E-3</v>
      </c>
    </row>
    <row r="113" spans="13:25" ht="20.100000000000001" customHeight="1" x14ac:dyDescent="0.3">
      <c r="M113" s="171">
        <v>99</v>
      </c>
      <c r="N113" s="171">
        <f t="shared" si="21"/>
        <v>1.7278759594743862</v>
      </c>
      <c r="O113" s="171">
        <f t="shared" si="25"/>
        <v>0.43456402038886971</v>
      </c>
      <c r="P113" s="171">
        <f t="shared" si="23"/>
        <v>78.980224666742075</v>
      </c>
      <c r="Q113" s="171">
        <f t="shared" si="22"/>
        <v>1.3749099328928045</v>
      </c>
      <c r="T113" s="171">
        <f t="shared" si="24"/>
        <v>0.62748137796540249</v>
      </c>
      <c r="U113" s="171">
        <f>T113^2*O113/3</f>
        <v>5.7034047719611271E-2</v>
      </c>
      <c r="V113" s="171">
        <f t="shared" si="16"/>
        <v>9.917516171728312E-4</v>
      </c>
      <c r="X113" s="171">
        <f t="shared" si="19"/>
        <v>0.13124429323112011</v>
      </c>
      <c r="Y113" s="171">
        <f t="shared" si="20"/>
        <v>2.2788604634652191E-3</v>
      </c>
    </row>
    <row r="114" spans="13:25" ht="20.100000000000001" customHeight="1" x14ac:dyDescent="0.3">
      <c r="M114" s="171">
        <v>100</v>
      </c>
      <c r="N114" s="171">
        <f t="shared" si="21"/>
        <v>1.7453292519943295</v>
      </c>
      <c r="O114" s="171">
        <f t="shared" si="25"/>
        <v>0.43583513113844635</v>
      </c>
      <c r="P114" s="171">
        <f t="shared" si="23"/>
        <v>78.572848064003793</v>
      </c>
      <c r="Q114" s="171">
        <f>(P114+P115)*PI()/180/2</f>
        <v>1.3674296518716911</v>
      </c>
      <c r="T114" s="171">
        <f t="shared" si="24"/>
        <v>0.62424485599910429</v>
      </c>
      <c r="U114" s="171">
        <f t="shared" ref="U114:U177" si="26">T114^2*O114/3</f>
        <v>5.6612316258943453E-2</v>
      </c>
      <c r="V114" s="171">
        <f t="shared" si="16"/>
        <v>9.8401361365230665E-4</v>
      </c>
      <c r="X114" s="171">
        <f t="shared" si="19"/>
        <v>0.12989388008044747</v>
      </c>
      <c r="Y114" s="171">
        <f t="shared" si="20"/>
        <v>2.2541348632050383E-3</v>
      </c>
    </row>
    <row r="115" spans="13:25" ht="20.100000000000001" customHeight="1" x14ac:dyDescent="0.3">
      <c r="M115" s="171">
        <v>101</v>
      </c>
      <c r="N115" s="171">
        <f t="shared" si="21"/>
        <v>1.7627825445142729</v>
      </c>
      <c r="O115" s="171">
        <f t="shared" si="25"/>
        <v>0.43724728024824316</v>
      </c>
      <c r="P115" s="171">
        <f t="shared" si="23"/>
        <v>78.123047602578865</v>
      </c>
      <c r="Q115" s="171">
        <f>(P115+P116)*PI()/180/2</f>
        <v>1.3592101305041215</v>
      </c>
      <c r="T115" s="171">
        <f t="shared" si="24"/>
        <v>0.62067128534220495</v>
      </c>
      <c r="U115" s="171">
        <f t="shared" si="26"/>
        <v>5.6147337832444418E-2</v>
      </c>
      <c r="V115" s="171">
        <f t="shared" si="16"/>
        <v>9.7552385086151509E-4</v>
      </c>
      <c r="X115" s="171">
        <f t="shared" si="19"/>
        <v>0.12841094814944826</v>
      </c>
      <c r="Y115" s="171">
        <f t="shared" si="20"/>
        <v>2.2271213017109066E-3</v>
      </c>
    </row>
    <row r="116" spans="13:25" ht="20.100000000000001" customHeight="1" x14ac:dyDescent="0.3">
      <c r="M116" s="171">
        <v>102</v>
      </c>
      <c r="N116" s="171">
        <f t="shared" si="21"/>
        <v>1.7802358370342162</v>
      </c>
      <c r="O116" s="171">
        <f t="shared" si="25"/>
        <v>0.43880270815799011</v>
      </c>
      <c r="P116" s="171">
        <f t="shared" si="23"/>
        <v>77.630960296045131</v>
      </c>
      <c r="Q116" s="171">
        <f t="shared" ref="Q116:Q132" si="27">(P116+P117)*PI()/180/2</f>
        <v>1.3502538725359283</v>
      </c>
      <c r="T116" s="171">
        <f t="shared" si="24"/>
        <v>0.61676175453894444</v>
      </c>
      <c r="U116" s="171">
        <f t="shared" si="26"/>
        <v>5.5639461104984328E-2</v>
      </c>
      <c r="V116" s="171">
        <f t="shared" si="16"/>
        <v>9.6628872504818961E-4</v>
      </c>
      <c r="X116" s="171">
        <f t="shared" si="19"/>
        <v>0.12679835395398573</v>
      </c>
      <c r="Y116" s="171">
        <f t="shared" si="20"/>
        <v>2.1978718744318278E-3</v>
      </c>
    </row>
    <row r="117" spans="13:25" ht="20.100000000000001" customHeight="1" x14ac:dyDescent="0.3">
      <c r="M117" s="171">
        <v>103</v>
      </c>
      <c r="N117" s="171">
        <f t="shared" si="21"/>
        <v>1.7976891295541595</v>
      </c>
      <c r="O117" s="171">
        <f t="shared" si="25"/>
        <v>0.44050390266745221</v>
      </c>
      <c r="P117" s="171">
        <f t="shared" si="23"/>
        <v>77.096736038963101</v>
      </c>
      <c r="Q117" s="171">
        <f t="shared" si="27"/>
        <v>1.3405636061300499</v>
      </c>
      <c r="T117" s="171">
        <f t="shared" si="24"/>
        <v>0.6125174544702775</v>
      </c>
      <c r="U117" s="171">
        <f t="shared" si="26"/>
        <v>5.5089070367692679E-2</v>
      </c>
      <c r="V117" s="171">
        <f t="shared" si="16"/>
        <v>9.5631526046045139E-4</v>
      </c>
      <c r="X117" s="171">
        <f t="shared" si="19"/>
        <v>0.12505921067691617</v>
      </c>
      <c r="Y117" s="171">
        <f t="shared" si="20"/>
        <v>2.1664431203484006E-3</v>
      </c>
    </row>
    <row r="118" spans="13:25" ht="20.100000000000001" customHeight="1" x14ac:dyDescent="0.3">
      <c r="M118" s="171">
        <v>104</v>
      </c>
      <c r="N118" s="171">
        <f t="shared" si="21"/>
        <v>1.8151424220741028</v>
      </c>
      <c r="O118" s="171">
        <f t="shared" si="25"/>
        <v>0.44235360886063135</v>
      </c>
      <c r="P118" s="171">
        <f t="shared" si="23"/>
        <v>76.520537561216642</v>
      </c>
      <c r="Q118" s="171">
        <f t="shared" si="27"/>
        <v>1.3301422830355054</v>
      </c>
      <c r="T118" s="171">
        <f t="shared" si="24"/>
        <v>0.60793967799112092</v>
      </c>
      <c r="U118" s="171">
        <f t="shared" si="26"/>
        <v>5.449658624898316E-2</v>
      </c>
      <c r="V118" s="171">
        <f t="shared" si="16"/>
        <v>9.4561112250063297E-4</v>
      </c>
      <c r="X118" s="171">
        <f t="shared" si="19"/>
        <v>0.12319688402531592</v>
      </c>
      <c r="Y118" s="171">
        <f t="shared" si="20"/>
        <v>2.132895946721509E-3</v>
      </c>
    </row>
    <row r="119" spans="13:25" ht="20.100000000000001" customHeight="1" x14ac:dyDescent="0.3">
      <c r="M119" s="171">
        <v>105</v>
      </c>
      <c r="N119" s="171">
        <f t="shared" si="21"/>
        <v>1.8325957145940461</v>
      </c>
      <c r="O119" s="171">
        <f t="shared" si="25"/>
        <v>0.44435484019430849</v>
      </c>
      <c r="P119" s="171">
        <f t="shared" si="23"/>
        <v>75.902540378443874</v>
      </c>
      <c r="Q119" s="171">
        <f t="shared" si="27"/>
        <v>1.318993077688263</v>
      </c>
      <c r="T119" s="171">
        <f t="shared" si="24"/>
        <v>0.60302981953653634</v>
      </c>
      <c r="U119" s="171">
        <f t="shared" si="26"/>
        <v>5.3862466510845947E-2</v>
      </c>
      <c r="V119" s="171">
        <f t="shared" si="16"/>
        <v>9.341846324252308E-4</v>
      </c>
      <c r="X119" s="171">
        <f t="shared" si="19"/>
        <v>0.1212149877500892</v>
      </c>
      <c r="Y119" s="171">
        <f t="shared" si="20"/>
        <v>2.0972955479970938E-3</v>
      </c>
    </row>
    <row r="120" spans="13:25" ht="20.100000000000001" customHeight="1" x14ac:dyDescent="0.3">
      <c r="M120" s="171">
        <v>106</v>
      </c>
      <c r="N120" s="171">
        <f t="shared" si="21"/>
        <v>1.8500490071139892</v>
      </c>
      <c r="O120" s="171">
        <f t="shared" si="25"/>
        <v>0.44651089083630319</v>
      </c>
      <c r="P120" s="171">
        <f t="shared" si="23"/>
        <v>75.242932738573288</v>
      </c>
      <c r="Q120" s="171">
        <f t="shared" si="27"/>
        <v>1.307119386244276</v>
      </c>
      <c r="T120" s="171">
        <f t="shared" si="24"/>
        <v>0.59778937469697158</v>
      </c>
      <c r="U120" s="171">
        <f t="shared" si="26"/>
        <v>5.3187206937045817E-2</v>
      </c>
      <c r="V120" s="171">
        <f t="shared" si="16"/>
        <v>9.2204478371445651E-4</v>
      </c>
      <c r="X120" s="171">
        <f t="shared" si="19"/>
        <v>0.11911737883353209</v>
      </c>
      <c r="Y120" s="171">
        <f t="shared" si="20"/>
        <v>2.0597113189679342E-3</v>
      </c>
    </row>
    <row r="121" spans="13:25" ht="20.100000000000001" customHeight="1" x14ac:dyDescent="0.3">
      <c r="M121" s="171">
        <v>107</v>
      </c>
      <c r="N121" s="171">
        <f t="shared" si="21"/>
        <v>1.8675022996339325</v>
      </c>
      <c r="O121" s="171">
        <f t="shared" si="25"/>
        <v>0.44882534935006108</v>
      </c>
      <c r="P121" s="171">
        <f t="shared" si="23"/>
        <v>74.541915564481783</v>
      </c>
      <c r="Q121" s="171">
        <f t="shared" si="27"/>
        <v>1.2945248255449817</v>
      </c>
      <c r="T121" s="171">
        <f t="shared" si="24"/>
        <v>0.59221993976269005</v>
      </c>
      <c r="U121" s="171">
        <f t="shared" si="26"/>
        <v>5.247134232073656E-2</v>
      </c>
      <c r="V121" s="171">
        <f t="shared" si="16"/>
        <v>9.0920126025092432E-4</v>
      </c>
      <c r="X121" s="171">
        <f t="shared" si="19"/>
        <v>0.11690815235084141</v>
      </c>
      <c r="Y121" s="171">
        <f t="shared" si="20"/>
        <v>2.0202167623004797E-3</v>
      </c>
    </row>
    <row r="122" spans="13:25" ht="20.100000000000001" customHeight="1" x14ac:dyDescent="0.3">
      <c r="M122" s="171">
        <v>108</v>
      </c>
      <c r="N122" s="171">
        <f t="shared" si="21"/>
        <v>1.8849555921538759</v>
      </c>
      <c r="O122" s="171">
        <f t="shared" si="25"/>
        <v>0.45130211383466395</v>
      </c>
      <c r="P122" s="171">
        <f t="shared" si="23"/>
        <v>73.799702392791474</v>
      </c>
      <c r="Q122" s="171">
        <f t="shared" si="27"/>
        <v>1.2812132320155749</v>
      </c>
      <c r="T122" s="171">
        <f t="shared" si="24"/>
        <v>0.58632321123752529</v>
      </c>
      <c r="U122" s="171">
        <f t="shared" si="26"/>
        <v>5.1715447559970505E-2</v>
      </c>
      <c r="V122" s="171">
        <f t="shared" si="16"/>
        <v>8.956644564648837E-4</v>
      </c>
      <c r="X122" s="171">
        <f t="shared" si="19"/>
        <v>0.11459163601196122</v>
      </c>
      <c r="Y122" s="171">
        <f t="shared" si="20"/>
        <v>1.9788893905417996E-3</v>
      </c>
    </row>
    <row r="123" spans="13:25" ht="20.100000000000001" customHeight="1" x14ac:dyDescent="0.3">
      <c r="M123" s="171">
        <v>109</v>
      </c>
      <c r="N123" s="171">
        <f t="shared" si="21"/>
        <v>1.9024088846738192</v>
      </c>
      <c r="O123" s="171">
        <f t="shared" si="25"/>
        <v>0.45394540864326988</v>
      </c>
      <c r="P123" s="171">
        <f t="shared" si="23"/>
        <v>73.016519308824442</v>
      </c>
      <c r="Q123" s="171">
        <f t="shared" si="27"/>
        <v>1.2671886604963969</v>
      </c>
      <c r="T123" s="171">
        <f t="shared" si="24"/>
        <v>0.58010098532210852</v>
      </c>
      <c r="U123" s="171">
        <f t="shared" si="26"/>
        <v>5.0920138870662886E-2</v>
      </c>
      <c r="V123" s="171">
        <f t="shared" si="16"/>
        <v>8.8144549962340809E-4</v>
      </c>
      <c r="X123" s="171">
        <f t="shared" si="19"/>
        <v>0.11217238439056039</v>
      </c>
      <c r="Y123" s="171">
        <f t="shared" si="20"/>
        <v>1.9358106227286387E-3</v>
      </c>
    </row>
    <row r="124" spans="13:25" ht="20.100000000000001" customHeight="1" x14ac:dyDescent="0.3">
      <c r="M124" s="171">
        <v>110</v>
      </c>
      <c r="N124" s="171">
        <f t="shared" si="21"/>
        <v>1.9198621771937625</v>
      </c>
      <c r="O124" s="171">
        <f t="shared" si="25"/>
        <v>0.45675980281856737</v>
      </c>
      <c r="P124" s="171">
        <f t="shared" si="23"/>
        <v>72.192604877734951</v>
      </c>
      <c r="Q124" s="171">
        <f t="shared" si="27"/>
        <v>1.252455383007792</v>
      </c>
      <c r="T124" s="171">
        <f t="shared" si="24"/>
        <v>0.57355515736673035</v>
      </c>
      <c r="U124" s="171">
        <f t="shared" si="26"/>
        <v>5.0086075127780065E-2</v>
      </c>
      <c r="V124" s="171">
        <f t="shared" si="16"/>
        <v>8.6655627446330526E-4</v>
      </c>
      <c r="X124" s="171">
        <f t="shared" si="19"/>
        <v>0.10965517284732494</v>
      </c>
      <c r="Y124" s="171">
        <f t="shared" si="20"/>
        <v>1.8910656757272425E-3</v>
      </c>
    </row>
    <row r="125" spans="13:25" ht="20.100000000000001" customHeight="1" x14ac:dyDescent="0.3">
      <c r="M125" s="171">
        <v>111</v>
      </c>
      <c r="N125" s="171">
        <f t="shared" si="21"/>
        <v>1.9373154697137058</v>
      </c>
      <c r="O125" s="171">
        <f t="shared" si="25"/>
        <v>0.45975023040130208</v>
      </c>
      <c r="P125" s="171">
        <f t="shared" si="23"/>
        <v>71.328210071840104</v>
      </c>
      <c r="Q125" s="171">
        <f t="shared" si="27"/>
        <v>1.2370178874488076</v>
      </c>
      <c r="T125" s="171">
        <f t="shared" si="24"/>
        <v>0.56668772129399614</v>
      </c>
      <c r="U125" s="171">
        <f t="shared" si="26"/>
        <v>4.9213959346875114E-2</v>
      </c>
      <c r="V125" s="171">
        <f t="shared" si="16"/>
        <v>8.5100945039270036E-4</v>
      </c>
      <c r="X125" s="171">
        <f t="shared" si="19"/>
        <v>0.10704499115512728</v>
      </c>
      <c r="Y125" s="171">
        <f t="shared" si="20"/>
        <v>1.8447434504392434E-3</v>
      </c>
    </row>
    <row r="126" spans="13:25" ht="20.100000000000001" customHeight="1" x14ac:dyDescent="0.3">
      <c r="M126" s="171">
        <v>112</v>
      </c>
      <c r="N126" s="171">
        <f t="shared" si="21"/>
        <v>1.9547687622336491</v>
      </c>
      <c r="O126" s="171">
        <f t="shared" si="25"/>
        <v>0.46292201278761264</v>
      </c>
      <c r="P126" s="171">
        <f t="shared" si="23"/>
        <v>70.423598194171419</v>
      </c>
      <c r="Q126" s="171">
        <f t="shared" si="27"/>
        <v>1.2208808762301369</v>
      </c>
      <c r="T126" s="171">
        <f t="shared" si="24"/>
        <v>0.55950076899146062</v>
      </c>
      <c r="U126" s="171">
        <f t="shared" si="26"/>
        <v>4.8304540319623952E-2</v>
      </c>
      <c r="V126" s="171">
        <f t="shared" si="16"/>
        <v>8.3481851151459314E-4</v>
      </c>
      <c r="X126" s="171">
        <f t="shared" si="19"/>
        <v>0.10434703683401192</v>
      </c>
      <c r="Y126" s="171">
        <f t="shared" si="20"/>
        <v>1.796936413015275E-3</v>
      </c>
    </row>
    <row r="127" spans="13:25" ht="20.100000000000001" customHeight="1" x14ac:dyDescent="0.3">
      <c r="M127" s="171">
        <v>113</v>
      </c>
      <c r="N127" s="171">
        <f t="shared" si="21"/>
        <v>1.9722220547535925</v>
      </c>
      <c r="O127" s="171">
        <f t="shared" si="25"/>
        <v>0.46628088333312689</v>
      </c>
      <c r="P127" s="171">
        <f t="shared" si="23"/>
        <v>69.479044798269925</v>
      </c>
      <c r="Q127" s="171">
        <f t="shared" si="27"/>
        <v>1.2040492648417203</v>
      </c>
      <c r="T127" s="171">
        <f t="shared" si="24"/>
        <v>0.55199648967441595</v>
      </c>
      <c r="U127" s="171">
        <f t="shared" si="26"/>
        <v>4.7358614418735463E-2</v>
      </c>
      <c r="V127" s="171">
        <f t="shared" si="16"/>
        <v>8.1799778975775853E-4</v>
      </c>
      <c r="X127" s="171">
        <f t="shared" si="19"/>
        <v>0.10156670820429253</v>
      </c>
      <c r="Y127" s="171">
        <f t="shared" si="20"/>
        <v>1.7477404712242276E-3</v>
      </c>
    </row>
    <row r="128" spans="13:25" ht="20.100000000000001" customHeight="1" x14ac:dyDescent="0.3">
      <c r="M128" s="171">
        <v>114</v>
      </c>
      <c r="N128" s="171">
        <f t="shared" si="21"/>
        <v>1.9896753472735358</v>
      </c>
      <c r="O128" s="171">
        <f t="shared" si="25"/>
        <v>0.46983301442691017</v>
      </c>
      <c r="P128" s="171">
        <f t="shared" si="23"/>
        <v>68.494837604250208</v>
      </c>
      <c r="Q128" s="171">
        <f t="shared" si="27"/>
        <v>1.1865281803554382</v>
      </c>
      <c r="T128" s="171">
        <f t="shared" si="24"/>
        <v>0.54417716921903858</v>
      </c>
      <c r="U128" s="171">
        <f t="shared" si="26"/>
        <v>4.6377027589562934E-2</v>
      </c>
      <c r="V128" s="171">
        <f t="shared" si="16"/>
        <v>8.0056250143669663E-4</v>
      </c>
      <c r="X128" s="171">
        <f t="shared" si="19"/>
        <v>9.8709597166415378E-2</v>
      </c>
      <c r="Y128" s="171">
        <f t="shared" si="20"/>
        <v>1.6972548461321195E-3</v>
      </c>
    </row>
    <row r="129" spans="13:25" ht="20.100000000000001" customHeight="1" x14ac:dyDescent="0.3">
      <c r="M129" s="171">
        <v>115</v>
      </c>
      <c r="N129" s="171">
        <f t="shared" si="21"/>
        <v>2.0071286397934789</v>
      </c>
      <c r="O129" s="171">
        <f t="shared" si="25"/>
        <v>0.47358504728689643</v>
      </c>
      <c r="P129" s="171">
        <f t="shared" si="23"/>
        <v>67.471276411157717</v>
      </c>
      <c r="Q129" s="171">
        <f t="shared" si="27"/>
        <v>1.1683229598633553</v>
      </c>
      <c r="T129" s="171">
        <f t="shared" si="24"/>
        <v>0.53604518946608615</v>
      </c>
      <c r="U129" s="171">
        <f t="shared" si="26"/>
        <v>4.5360677547954309E-2</v>
      </c>
      <c r="V129" s="171">
        <f t="shared" si="16"/>
        <v>7.8252878760362988E-4</v>
      </c>
      <c r="X129" s="171">
        <f t="shared" si="19"/>
        <v>9.5781481716577396E-2</v>
      </c>
      <c r="Y129" s="171">
        <f t="shared" si="20"/>
        <v>1.6455819392504048E-3</v>
      </c>
    </row>
    <row r="130" spans="13:25" ht="20.100000000000001" customHeight="1" x14ac:dyDescent="0.3">
      <c r="M130" s="171">
        <v>116</v>
      </c>
      <c r="N130" s="171">
        <f t="shared" si="21"/>
        <v>2.0245819323134224</v>
      </c>
      <c r="O130" s="171">
        <f t="shared" si="25"/>
        <v>0.47754412476088981</v>
      </c>
      <c r="P130" s="171">
        <f t="shared" si="23"/>
        <v>66.408673005647344</v>
      </c>
      <c r="Q130" s="171">
        <f t="shared" si="27"/>
        <v>1.1494391488519915</v>
      </c>
      <c r="T130" s="171">
        <f t="shared" si="24"/>
        <v>0.52760302749536758</v>
      </c>
      <c r="U130" s="171">
        <f t="shared" si="26"/>
        <v>4.431051620640012E-2</v>
      </c>
      <c r="V130" s="171">
        <f t="shared" si="16"/>
        <v>7.6391375860257568E-4</v>
      </c>
      <c r="X130" s="171">
        <f t="shared" si="19"/>
        <v>9.2788318207425877E-2</v>
      </c>
      <c r="Y130" s="171">
        <f t="shared" si="20"/>
        <v>1.5928271953192454E-3</v>
      </c>
    </row>
    <row r="131" spans="13:25" ht="20.100000000000001" customHeight="1" x14ac:dyDescent="0.3">
      <c r="M131" s="171">
        <v>117</v>
      </c>
      <c r="N131" s="171">
        <f t="shared" si="21"/>
        <v>2.0420352248333655</v>
      </c>
      <c r="O131" s="171">
        <f t="shared" si="25"/>
        <v>0.48171792745424852</v>
      </c>
      <c r="P131" s="171">
        <f t="shared" si="23"/>
        <v>65.307351067010103</v>
      </c>
      <c r="Q131" s="171">
        <f t="shared" si="27"/>
        <v>1.1298824995131129</v>
      </c>
      <c r="T131" s="171">
        <f t="shared" si="24"/>
        <v>0.5188532548712006</v>
      </c>
      <c r="U131" s="171">
        <f t="shared" si="26"/>
        <v>4.3227552353406223E-2</v>
      </c>
      <c r="V131" s="171">
        <f t="shared" si="16"/>
        <v>7.4473554328921337E-4</v>
      </c>
      <c r="X131" s="171">
        <f t="shared" si="19"/>
        <v>8.9736233363479689E-2</v>
      </c>
      <c r="Y131" s="171">
        <f t="shared" si="20"/>
        <v>1.5390989608966893E-3</v>
      </c>
    </row>
    <row r="132" spans="13:25" ht="20.100000000000001" customHeight="1" x14ac:dyDescent="0.3">
      <c r="M132" s="171">
        <v>118</v>
      </c>
      <c r="N132" s="171">
        <f t="shared" si="21"/>
        <v>2.0594885173533091</v>
      </c>
      <c r="O132" s="171">
        <f t="shared" si="25"/>
        <v>0.48611471354768399</v>
      </c>
      <c r="P132" s="171">
        <f t="shared" si="23"/>
        <v>64.167646068577213</v>
      </c>
      <c r="Q132" s="171">
        <f t="shared" si="27"/>
        <v>1.1096589689915572</v>
      </c>
      <c r="T132" s="171">
        <f t="shared" si="24"/>
        <v>0.50979853685908694</v>
      </c>
      <c r="U132" s="171">
        <f t="shared" si="26"/>
        <v>4.2112854614302482E-2</v>
      </c>
      <c r="V132" s="171">
        <f t="shared" si="16"/>
        <v>7.2501334344174774E-4</v>
      </c>
      <c r="X132" s="171">
        <f t="shared" si="19"/>
        <v>8.6631516061221936E-2</v>
      </c>
      <c r="Y132" s="171">
        <f t="shared" si="20"/>
        <v>1.4845083389300141E-3</v>
      </c>
    </row>
    <row r="133" spans="13:25" ht="20.100000000000001" customHeight="1" x14ac:dyDescent="0.3">
      <c r="M133" s="171">
        <v>119</v>
      </c>
      <c r="N133" s="171">
        <f t="shared" si="21"/>
        <v>2.0769418098732522</v>
      </c>
      <c r="O133" s="171">
        <f t="shared" si="25"/>
        <v>0.49074336271710234</v>
      </c>
      <c r="P133" s="171">
        <f t="shared" si="23"/>
        <v>62.989905175531817</v>
      </c>
      <c r="Q133" s="171">
        <f>(P133+P134)*PI()/180/2</f>
        <v>1.0887747175706313</v>
      </c>
      <c r="T133" s="171">
        <f t="shared" si="24"/>
        <v>0.5004416316138488</v>
      </c>
      <c r="U133" s="171">
        <f t="shared" si="26"/>
        <v>4.0967554725459543E-2</v>
      </c>
      <c r="V133" s="171">
        <f t="shared" si="16"/>
        <v>7.0476749395846606E-4</v>
      </c>
      <c r="X133" s="171">
        <f t="shared" si="19"/>
        <v>8.3480608884110394E-2</v>
      </c>
      <c r="Y133" s="171">
        <f t="shared" si="20"/>
        <v>1.4291690394904826E-3</v>
      </c>
    </row>
    <row r="134" spans="13:25" ht="20.100000000000001" customHeight="1" x14ac:dyDescent="0.3">
      <c r="M134" s="171">
        <v>120</v>
      </c>
      <c r="N134" s="171">
        <f t="shared" si="21"/>
        <v>2.0943951023931953</v>
      </c>
      <c r="O134" s="171">
        <f t="shared" si="25"/>
        <v>0.49561342462312968</v>
      </c>
      <c r="P134" s="171">
        <f t="shared" si="23"/>
        <v>61.774487139158921</v>
      </c>
      <c r="Q134" s="171">
        <f t="shared" ref="Q134:Q194" si="28">(P134+P135)*PI()/180/2</f>
        <v>1.067236106795628</v>
      </c>
      <c r="T134" s="171">
        <f t="shared" si="24"/>
        <v>0.49078538933946569</v>
      </c>
      <c r="U134" s="171">
        <f t="shared" si="26"/>
        <v>3.9792851158204155E-2</v>
      </c>
      <c r="V134" s="171">
        <f t="shared" si="16"/>
        <v>6.8401952951881477E-4</v>
      </c>
      <c r="X134" s="171">
        <f t="shared" si="19"/>
        <v>8.0290099463030312E-2</v>
      </c>
      <c r="Y134" s="171">
        <f t="shared" si="20"/>
        <v>1.3731972268576195E-3</v>
      </c>
    </row>
    <row r="135" spans="13:25" ht="20.100000000000001" customHeight="1" x14ac:dyDescent="0.3">
      <c r="M135" s="171">
        <v>121</v>
      </c>
      <c r="N135" s="171">
        <f t="shared" si="21"/>
        <v>2.1118483949131388</v>
      </c>
      <c r="O135" s="171">
        <f t="shared" si="25"/>
        <v>0.5007351725021032</v>
      </c>
      <c r="P135" s="171">
        <f t="shared" si="23"/>
        <v>60.521762187566424</v>
      </c>
      <c r="Q135" s="171">
        <f t="shared" si="28"/>
        <v>1.0450496975360386</v>
      </c>
      <c r="T135" s="171">
        <f t="shared" si="24"/>
        <v>0.48083275142087661</v>
      </c>
      <c r="U135" s="171">
        <f t="shared" si="26"/>
        <v>3.8590013133700481E-2</v>
      </c>
      <c r="V135" s="171">
        <f t="shared" si="16"/>
        <v>6.6279225847832289E-4</v>
      </c>
      <c r="X135" s="171">
        <f t="shared" si="19"/>
        <v>7.7066711612990182E-2</v>
      </c>
      <c r="Y135" s="171">
        <f t="shared" si="20"/>
        <v>1.3167113631436854E-3</v>
      </c>
    </row>
    <row r="136" spans="13:25" ht="20.100000000000001" customHeight="1" x14ac:dyDescent="0.3">
      <c r="M136" s="171">
        <v>122</v>
      </c>
      <c r="N136" s="171">
        <f t="shared" si="21"/>
        <v>2.1293016874330819</v>
      </c>
      <c r="O136" s="171">
        <f t="shared" si="25"/>
        <v>0.50611966246436102</v>
      </c>
      <c r="P136" s="171">
        <f t="shared" si="23"/>
        <v>59.232111912910042</v>
      </c>
      <c r="Q136" s="171">
        <f t="shared" si="28"/>
        <v>1.022222247987048</v>
      </c>
      <c r="T136" s="171">
        <f t="shared" si="24"/>
        <v>0.47058674952800517</v>
      </c>
      <c r="U136" s="171">
        <f t="shared" si="26"/>
        <v>3.7360385075803228E-2</v>
      </c>
      <c r="V136" s="171">
        <f t="shared" si="16"/>
        <v>6.4110984487577715E-4</v>
      </c>
      <c r="X136" s="171">
        <f t="shared" si="19"/>
        <v>7.3817296277111158E-2</v>
      </c>
      <c r="Y136" s="171">
        <f t="shared" si="20"/>
        <v>1.2598320486533927E-3</v>
      </c>
    </row>
    <row r="137" spans="13:25" ht="20.100000000000001" customHeight="1" x14ac:dyDescent="0.3">
      <c r="M137" s="171">
        <v>123</v>
      </c>
      <c r="N137" s="171">
        <f t="shared" si="21"/>
        <v>2.1467549799530254</v>
      </c>
      <c r="O137" s="171">
        <f t="shared" si="25"/>
        <v>0.51177879919134739</v>
      </c>
      <c r="P137" s="171">
        <f t="shared" si="23"/>
        <v>57.905929155156485</v>
      </c>
      <c r="Q137" s="171">
        <f t="shared" si="28"/>
        <v>0.99876071161092372</v>
      </c>
      <c r="T137" s="171">
        <f t="shared" si="24"/>
        <v>0.4600505046922827</v>
      </c>
      <c r="U137" s="171">
        <f t="shared" si="26"/>
        <v>3.610539155553464E-2</v>
      </c>
      <c r="V137" s="171">
        <f t="shared" si="16"/>
        <v>6.1899789955630676E-4</v>
      </c>
      <c r="X137" s="171">
        <f t="shared" si="19"/>
        <v>7.0548822289208016E-2</v>
      </c>
      <c r="Y137" s="171">
        <f t="shared" si="20"/>
        <v>1.2026818591780231E-3</v>
      </c>
    </row>
    <row r="138" spans="13:25" ht="20.100000000000001" customHeight="1" x14ac:dyDescent="0.3">
      <c r="M138" s="171">
        <v>124</v>
      </c>
      <c r="N138" s="171">
        <f t="shared" si="21"/>
        <v>2.1642082724729685</v>
      </c>
      <c r="O138" s="171">
        <f t="shared" si="25"/>
        <v>0.51772540882245466</v>
      </c>
      <c r="P138" s="171">
        <f t="shared" si="23"/>
        <v>56.543617882420889</v>
      </c>
      <c r="Q138" s="171">
        <f t="shared" si="28"/>
        <v>0.97467223501892275</v>
      </c>
      <c r="T138" s="171">
        <f t="shared" si="24"/>
        <v>0.44922722635595397</v>
      </c>
      <c r="U138" s="171">
        <f t="shared" si="26"/>
        <v>3.4826542788543816E-2</v>
      </c>
      <c r="V138" s="171">
        <f t="shared" si="16"/>
        <v>5.9648358155951699E-4</v>
      </c>
      <c r="X138" s="171">
        <f t="shared" si="19"/>
        <v>6.726836696648783E-2</v>
      </c>
      <c r="Y138" s="171">
        <f t="shared" si="20"/>
        <v>1.1453851804269814E-3</v>
      </c>
    </row>
    <row r="139" spans="13:25" ht="20.100000000000001" customHeight="1" x14ac:dyDescent="0.3">
      <c r="M139" s="171">
        <v>125</v>
      </c>
      <c r="N139" s="171">
        <f t="shared" si="21"/>
        <v>2.1816615649929121</v>
      </c>
      <c r="O139" s="171">
        <f t="shared" si="25"/>
        <v>0.52397331993816088</v>
      </c>
      <c r="P139" s="171">
        <f t="shared" si="23"/>
        <v>55.145593067913822</v>
      </c>
      <c r="Q139" s="171">
        <f t="shared" si="28"/>
        <v>0.94996415579436533</v>
      </c>
      <c r="T139" s="171">
        <f t="shared" si="24"/>
        <v>0.43812021139444651</v>
      </c>
      <c r="U139" s="171">
        <f t="shared" si="26"/>
        <v>3.3525440755871681E-2</v>
      </c>
      <c r="V139" s="171">
        <f t="shared" si="16"/>
        <v>5.7359571109130334E-4</v>
      </c>
      <c r="X139" s="171">
        <f t="shared" si="19"/>
        <v>6.3983106544104842E-2</v>
      </c>
      <c r="Y139" s="171">
        <f t="shared" si="20"/>
        <v>1.0880680398034569E-3</v>
      </c>
    </row>
    <row r="140" spans="13:25" ht="20.100000000000001" customHeight="1" x14ac:dyDescent="0.3">
      <c r="M140" s="171">
        <v>126</v>
      </c>
      <c r="N140" s="171">
        <f t="shared" si="21"/>
        <v>2.1991148575128552</v>
      </c>
      <c r="O140" s="171">
        <f t="shared" si="25"/>
        <v>0.5305374536808688</v>
      </c>
      <c r="P140" s="171">
        <f t="shared" si="23"/>
        <v>53.712280563536865</v>
      </c>
      <c r="Q140" s="171">
        <f t="shared" si="28"/>
        <v>0.9246440002575359</v>
      </c>
      <c r="T140" s="171">
        <f t="shared" si="24"/>
        <v>0.42673284311211473</v>
      </c>
      <c r="U140" s="171">
        <f t="shared" si="26"/>
        <v>3.2203786028802292E-2</v>
      </c>
      <c r="V140" s="171">
        <f t="shared" si="16"/>
        <v>5.5036489559591624E-4</v>
      </c>
      <c r="X140" s="171">
        <f t="shared" si="19"/>
        <v>6.0700306463516242E-2</v>
      </c>
      <c r="Y140" s="171">
        <f t="shared" si="20"/>
        <v>1.0308579357342193E-3</v>
      </c>
    </row>
    <row r="141" spans="13:25" ht="20.100000000000001" customHeight="1" x14ac:dyDescent="0.3">
      <c r="M141" s="171">
        <v>127</v>
      </c>
      <c r="N141" s="171">
        <f t="shared" si="21"/>
        <v>2.2165681500327987</v>
      </c>
      <c r="O141" s="171">
        <f t="shared" si="25"/>
        <v>0.53743392421258307</v>
      </c>
      <c r="P141" s="171">
        <f t="shared" si="23"/>
        <v>52.24411697016356</v>
      </c>
      <c r="Q141" s="171">
        <f t="shared" si="28"/>
        <v>0.89871948117309275</v>
      </c>
      <c r="T141" s="171">
        <f t="shared" si="24"/>
        <v>0.41506859021164849</v>
      </c>
      <c r="U141" s="171">
        <f t="shared" si="26"/>
        <v>3.0863385390806092E-2</v>
      </c>
      <c r="V141" s="171">
        <f t="shared" si="16"/>
        <v>5.2682367067671614E-4</v>
      </c>
      <c r="X141" s="171">
        <f t="shared" si="19"/>
        <v>5.7427311526761789E-2</v>
      </c>
      <c r="Y141" s="171">
        <f t="shared" si="20"/>
        <v>9.7388366476670548E-4</v>
      </c>
    </row>
    <row r="142" spans="13:25" ht="20.100000000000001" customHeight="1" x14ac:dyDescent="0.3">
      <c r="M142" s="171">
        <v>128</v>
      </c>
      <c r="N142" s="171">
        <f t="shared" si="21"/>
        <v>2.2340214425527418</v>
      </c>
      <c r="O142" s="171">
        <f t="shared" si="25"/>
        <v>0.54468015089353095</v>
      </c>
      <c r="P142" s="171">
        <f t="shared" ref="P142:P173" si="29">(Vacmin*SIN(N142)-(Vout+Vdf))*(Vacmin*SIN(N142)-(Vout+Vdf)&gt;0)</f>
        <v>50.741549504646954</v>
      </c>
      <c r="Q142" s="171">
        <f t="shared" si="28"/>
        <v>0.8721984954006855</v>
      </c>
      <c r="T142" s="171">
        <f t="shared" ref="T142:T173" si="30">P142*Iout/1000*2*PI()/integral</f>
        <v>0.40313100573747623</v>
      </c>
      <c r="U142" s="171">
        <f t="shared" si="26"/>
        <v>2.9506160363925549E-2</v>
      </c>
      <c r="V142" s="171">
        <f t="shared" ref="V142:V194" si="31">(U142+U143)*PI()/180/2</f>
        <v>5.0300665788640916E-4</v>
      </c>
      <c r="X142" s="171">
        <f t="shared" si="19"/>
        <v>5.41715359289697E-2</v>
      </c>
      <c r="Y142" s="171">
        <f t="shared" si="20"/>
        <v>9.1727514664940372E-4</v>
      </c>
    </row>
    <row r="143" spans="13:25" ht="20.100000000000001" customHeight="1" x14ac:dyDescent="0.3">
      <c r="M143" s="171">
        <v>129</v>
      </c>
      <c r="N143" s="171">
        <f t="shared" si="21"/>
        <v>2.2514747350726849</v>
      </c>
      <c r="O143" s="171">
        <f t="shared" ref="O143:O174" si="32">IF((Vout+Vdf)/Vacmin/SIN(N143)&gt;1,1,(Vout+Vdf)/Vacmin/SIN(N143))</f>
        <v>0.55229498378342801</v>
      </c>
      <c r="P143" s="171">
        <f t="shared" si="29"/>
        <v>49.205035863592698</v>
      </c>
      <c r="Q143" s="171">
        <f t="shared" si="28"/>
        <v>0.84508912148949489</v>
      </c>
      <c r="T143" s="171">
        <f t="shared" si="30"/>
        <v>0.39092372599347025</v>
      </c>
      <c r="U143" s="171">
        <f t="shared" si="26"/>
        <v>2.8134156763818707E-2</v>
      </c>
      <c r="V143" s="171">
        <f t="shared" si="31"/>
        <v>4.7895074172844886E-4</v>
      </c>
      <c r="X143" s="171">
        <f t="shared" ref="X143:X194" si="33">T143^2/3</f>
        <v>5.0940453181539273E-2</v>
      </c>
      <c r="Y143" s="171">
        <f t="shared" ref="Y143:Y194" si="34">(X143+X144)*PI()/180/2</f>
        <v>8.6116324761412503E-4</v>
      </c>
    </row>
    <row r="144" spans="13:25" ht="20.100000000000001" customHeight="1" x14ac:dyDescent="0.3">
      <c r="M144" s="171">
        <v>130</v>
      </c>
      <c r="N144" s="171">
        <f t="shared" ref="N144:N194" si="35">PI()/180*M144</f>
        <v>2.2689280275926285</v>
      </c>
      <c r="O144" s="171">
        <f t="shared" si="32"/>
        <v>0.56029884432380261</v>
      </c>
      <c r="P144" s="171">
        <f t="shared" si="29"/>
        <v>47.635044083940372</v>
      </c>
      <c r="Q144" s="171">
        <f t="shared" si="28"/>
        <v>0.81739961721742849</v>
      </c>
      <c r="T144" s="171">
        <f t="shared" si="30"/>
        <v>0.37845046943529498</v>
      </c>
      <c r="U144" s="171">
        <f t="shared" si="26"/>
        <v>2.6749555427582176E-2</v>
      </c>
      <c r="V144" s="171">
        <f t="shared" si="31"/>
        <v>4.5469526859053525E-4</v>
      </c>
      <c r="X144" s="171">
        <f t="shared" si="33"/>
        <v>4.7741585938598376E-2</v>
      </c>
      <c r="Y144" s="171">
        <f t="shared" si="34"/>
        <v>8.0567960208109517E-4</v>
      </c>
    </row>
    <row r="145" spans="13:25" ht="20.100000000000001" customHeight="1" x14ac:dyDescent="0.3">
      <c r="M145" s="171">
        <v>131</v>
      </c>
      <c r="N145" s="171">
        <f t="shared" si="35"/>
        <v>2.2863813201125716</v>
      </c>
      <c r="O145" s="171">
        <f t="shared" si="32"/>
        <v>0.56871388336363871</v>
      </c>
      <c r="P145" s="171">
        <f t="shared" si="29"/>
        <v>46.032052400394974</v>
      </c>
      <c r="Q145" s="171">
        <f t="shared" si="28"/>
        <v>0.78913841707572208</v>
      </c>
      <c r="T145" s="171">
        <f t="shared" si="30"/>
        <v>0.36571503553772972</v>
      </c>
      <c r="U145" s="171">
        <f t="shared" si="26"/>
        <v>2.5354684282027935E-2</v>
      </c>
      <c r="V145" s="171">
        <f t="shared" si="31"/>
        <v>4.3028227078076905E-4</v>
      </c>
      <c r="X145" s="171">
        <f t="shared" si="33"/>
        <v>4.4582495739454303E-2</v>
      </c>
      <c r="Y145" s="171">
        <f t="shared" si="34"/>
        <v>7.5095643300981366E-4</v>
      </c>
    </row>
    <row r="146" spans="13:25" ht="20.100000000000001" customHeight="1" x14ac:dyDescent="0.3">
      <c r="M146" s="171">
        <v>132</v>
      </c>
      <c r="N146" s="171">
        <f t="shared" si="35"/>
        <v>2.3038346126325151</v>
      </c>
      <c r="O146" s="171">
        <f t="shared" si="32"/>
        <v>0.57756415905137815</v>
      </c>
      <c r="P146" s="171">
        <f t="shared" si="29"/>
        <v>44.396549099751766</v>
      </c>
      <c r="Q146" s="171">
        <f t="shared" si="28"/>
        <v>0.76031412969971102</v>
      </c>
      <c r="T146" s="171">
        <f t="shared" si="30"/>
        <v>0.35272130363731002</v>
      </c>
      <c r="U146" s="171">
        <f t="shared" si="26"/>
        <v>2.3952031948058724E-2</v>
      </c>
      <c r="V146" s="171">
        <f t="shared" si="31"/>
        <v>4.057567193719115E-4</v>
      </c>
      <c r="X146" s="171">
        <f t="shared" si="33"/>
        <v>4.1470772679867818E-2</v>
      </c>
      <c r="Y146" s="171">
        <f t="shared" si="34"/>
        <v>6.9712637112043967E-4</v>
      </c>
    </row>
    <row r="147" spans="13:25" ht="20.100000000000001" customHeight="1" x14ac:dyDescent="0.3">
      <c r="M147" s="171">
        <v>133</v>
      </c>
      <c r="N147" s="171">
        <f t="shared" si="35"/>
        <v>2.3212879051524582</v>
      </c>
      <c r="O147" s="171">
        <f t="shared" si="32"/>
        <v>0.58687583754615891</v>
      </c>
      <c r="P147" s="171">
        <f t="shared" si="29"/>
        <v>42.729032372159679</v>
      </c>
      <c r="Q147" s="171">
        <f t="shared" si="28"/>
        <v>0.73093553524655752</v>
      </c>
      <c r="T147" s="171">
        <f t="shared" si="30"/>
        <v>0.33947323175064636</v>
      </c>
      <c r="U147" s="171">
        <f t="shared" si="26"/>
        <v>2.2544263110110596E-2</v>
      </c>
      <c r="V147" s="171">
        <f t="shared" si="31"/>
        <v>3.8116681019766298E-4</v>
      </c>
      <c r="X147" s="171">
        <f t="shared" si="33"/>
        <v>3.8414025025076022E-2</v>
      </c>
      <c r="Y147" s="171">
        <f t="shared" si="34"/>
        <v>6.4432227321195188E-4</v>
      </c>
    </row>
    <row r="148" spans="13:25" ht="20.100000000000001" customHeight="1" x14ac:dyDescent="0.3">
      <c r="M148" s="171">
        <v>134</v>
      </c>
      <c r="N148" s="171">
        <f t="shared" si="35"/>
        <v>2.3387411976724017</v>
      </c>
      <c r="O148" s="171">
        <f t="shared" si="32"/>
        <v>0.59667742001508728</v>
      </c>
      <c r="P148" s="171">
        <f t="shared" si="29"/>
        <v>41.030010159367464</v>
      </c>
      <c r="Q148" s="171">
        <f t="shared" si="28"/>
        <v>0.70101158272072861</v>
      </c>
      <c r="T148" s="171">
        <f t="shared" si="30"/>
        <v>0.32597485536877202</v>
      </c>
      <c r="U148" s="171">
        <f t="shared" si="26"/>
        <v>2.1134235919469797E-2</v>
      </c>
      <c r="V148" s="171">
        <f t="shared" si="31"/>
        <v>3.5656428810973434E-4</v>
      </c>
      <c r="X148" s="171">
        <f t="shared" si="33"/>
        <v>3.5419868777563944E-2</v>
      </c>
      <c r="Y148" s="171">
        <f t="shared" si="34"/>
        <v>5.9267703980454476E-4</v>
      </c>
    </row>
    <row r="149" spans="13:25" ht="20.100000000000001" customHeight="1" x14ac:dyDescent="0.3">
      <c r="M149" s="171">
        <v>135</v>
      </c>
      <c r="N149" s="171">
        <f t="shared" si="35"/>
        <v>2.3561944901923448</v>
      </c>
      <c r="O149" s="171">
        <f t="shared" si="32"/>
        <v>0.60699999999999998</v>
      </c>
      <c r="P149" s="171">
        <f t="shared" si="29"/>
        <v>39.300000000000011</v>
      </c>
      <c r="Q149" s="171">
        <f t="shared" si="28"/>
        <v>0.67055138724804353</v>
      </c>
      <c r="T149" s="171">
        <f t="shared" si="30"/>
        <v>0.312230286227895</v>
      </c>
      <c r="U149" s="171">
        <f t="shared" si="26"/>
        <v>1.9725021748079205E-2</v>
      </c>
      <c r="V149" s="171">
        <f t="shared" si="31"/>
        <v>3.3200481552418041E-4</v>
      </c>
      <c r="X149" s="171">
        <f t="shared" si="33"/>
        <v>3.2495917212651083E-2</v>
      </c>
      <c r="Y149" s="171">
        <f t="shared" si="34"/>
        <v>5.4232343233468774E-4</v>
      </c>
    </row>
    <row r="150" spans="13:25" ht="20.100000000000001" customHeight="1" x14ac:dyDescent="0.3">
      <c r="M150" s="171">
        <v>136</v>
      </c>
      <c r="N150" s="171">
        <f t="shared" si="35"/>
        <v>2.3736477827122884</v>
      </c>
      <c r="O150" s="171">
        <f t="shared" si="32"/>
        <v>0.61787755597997085</v>
      </c>
      <c r="P150" s="171">
        <f t="shared" si="29"/>
        <v>37.539528871910747</v>
      </c>
      <c r="Q150" s="171">
        <f t="shared" si="28"/>
        <v>0.63956422729911777</v>
      </c>
      <c r="T150" s="171">
        <f t="shared" si="30"/>
        <v>0.29824371105692149</v>
      </c>
      <c r="U150" s="171">
        <f t="shared" si="26"/>
        <v>1.8319927667030816E-2</v>
      </c>
      <c r="V150" s="171">
        <f t="shared" si="31"/>
        <v>3.0754839239563149E-4</v>
      </c>
      <c r="X150" s="171">
        <f t="shared" si="33"/>
        <v>2.9649770395001492E-2</v>
      </c>
      <c r="Y150" s="171">
        <f t="shared" si="34"/>
        <v>4.933938901319244E-4</v>
      </c>
    </row>
    <row r="151" spans="13:25" ht="20.100000000000001" customHeight="1" x14ac:dyDescent="0.3">
      <c r="M151" s="171">
        <v>137</v>
      </c>
      <c r="N151" s="171">
        <f t="shared" si="35"/>
        <v>2.3911010752322315</v>
      </c>
      <c r="O151" s="171">
        <f t="shared" si="32"/>
        <v>0.62934728485402958</v>
      </c>
      <c r="P151" s="171">
        <f t="shared" si="29"/>
        <v>35.749133031659483</v>
      </c>
      <c r="Q151" s="171">
        <f t="shared" si="28"/>
        <v>0.60805954186305144</v>
      </c>
      <c r="T151" s="171">
        <f t="shared" si="30"/>
        <v>0.28401939030214074</v>
      </c>
      <c r="U151" s="171">
        <f t="shared" si="26"/>
        <v>1.6922522093575237E-2</v>
      </c>
      <c r="V151" s="171">
        <f t="shared" si="31"/>
        <v>2.8325983610357538E-4</v>
      </c>
      <c r="X151" s="171">
        <f t="shared" si="33"/>
        <v>2.6889004689199917E-2</v>
      </c>
      <c r="Y151" s="171">
        <f t="shared" si="34"/>
        <v>4.460203474068768E-4</v>
      </c>
    </row>
    <row r="152" spans="13:25" ht="20.100000000000001" customHeight="1" x14ac:dyDescent="0.3">
      <c r="M152" s="171">
        <v>138</v>
      </c>
      <c r="N152" s="171">
        <f t="shared" si="35"/>
        <v>2.4085543677521746</v>
      </c>
      <c r="O152" s="171">
        <f t="shared" si="32"/>
        <v>0.64144998315925883</v>
      </c>
      <c r="P152" s="171">
        <f t="shared" si="29"/>
        <v>33.929357851163019</v>
      </c>
      <c r="Q152" s="171">
        <f t="shared" si="28"/>
        <v>0.57604692757222065</v>
      </c>
      <c r="T152" s="171">
        <f t="shared" si="30"/>
        <v>0.26956165682944783</v>
      </c>
      <c r="U152" s="171">
        <f t="shared" si="26"/>
        <v>1.5536664135029342E-2</v>
      </c>
      <c r="V152" s="171">
        <f t="shared" si="31"/>
        <v>2.5920933137251595E-4</v>
      </c>
      <c r="X152" s="171">
        <f t="shared" si="33"/>
        <v>2.4221162277545668E-2</v>
      </c>
      <c r="Y152" s="171">
        <f t="shared" si="34"/>
        <v>4.0033405048002263E-4</v>
      </c>
    </row>
    <row r="153" spans="13:25" ht="20.100000000000001" customHeight="1" x14ac:dyDescent="0.3">
      <c r="M153" s="171">
        <v>139</v>
      </c>
      <c r="N153" s="171">
        <f t="shared" si="35"/>
        <v>2.4260076602721181</v>
      </c>
      <c r="O153" s="171">
        <f t="shared" si="32"/>
        <v>0.65423048416950413</v>
      </c>
      <c r="P153" s="171">
        <f t="shared" si="29"/>
        <v>32.080757651569897</v>
      </c>
      <c r="Q153" s="171">
        <f t="shared" si="28"/>
        <v>0.5435361357790518</v>
      </c>
      <c r="T153" s="171">
        <f t="shared" si="30"/>
        <v>0.25487491460451395</v>
      </c>
      <c r="U153" s="171">
        <f t="shared" si="26"/>
        <v>1.4166537261076992E-2</v>
      </c>
      <c r="V153" s="171">
        <f t="shared" si="31"/>
        <v>2.3547306234990515E-4</v>
      </c>
      <c r="X153" s="171">
        <f t="shared" si="33"/>
        <v>2.1653740698219428E-2</v>
      </c>
      <c r="Y153" s="171">
        <f t="shared" si="34"/>
        <v>3.564653754806426E-4</v>
      </c>
    </row>
    <row r="154" spans="13:25" ht="20.100000000000001" customHeight="1" x14ac:dyDescent="0.3">
      <c r="M154" s="171">
        <v>140</v>
      </c>
      <c r="N154" s="171">
        <f t="shared" si="35"/>
        <v>2.4434609527920612</v>
      </c>
      <c r="O154" s="171">
        <f t="shared" si="32"/>
        <v>0.6677381606492756</v>
      </c>
      <c r="P154" s="171">
        <f t="shared" si="29"/>
        <v>30.203895534408758</v>
      </c>
      <c r="Q154" s="171">
        <f t="shared" si="28"/>
        <v>0.51053706958566392</v>
      </c>
      <c r="T154" s="171">
        <f t="shared" si="30"/>
        <v>0.23996363735129475</v>
      </c>
      <c r="U154" s="171">
        <f t="shared" si="26"/>
        <v>1.2816688062263909E-2</v>
      </c>
      <c r="V154" s="171">
        <f t="shared" si="31"/>
        <v>2.1213394142459153E-4</v>
      </c>
      <c r="X154" s="171">
        <f t="shared" si="33"/>
        <v>1.9194182416954569E-2</v>
      </c>
      <c r="Y154" s="171">
        <f t="shared" si="34"/>
        <v>3.1454364674485182E-4</v>
      </c>
    </row>
    <row r="155" spans="13:25" ht="20.100000000000001" customHeight="1" x14ac:dyDescent="0.3">
      <c r="M155" s="171">
        <v>141</v>
      </c>
      <c r="N155" s="171">
        <f t="shared" si="35"/>
        <v>2.4609142453120048</v>
      </c>
      <c r="O155" s="171">
        <f t="shared" si="32"/>
        <v>0.68202750504272769</v>
      </c>
      <c r="P155" s="171">
        <f t="shared" si="29"/>
        <v>28.299343210061977</v>
      </c>
      <c r="Q155" s="171">
        <f t="shared" si="28"/>
        <v>0.477059780827289</v>
      </c>
      <c r="T155" s="171">
        <f t="shared" si="30"/>
        <v>0.2248323671892897</v>
      </c>
      <c r="U155" s="171">
        <f t="shared" si="26"/>
        <v>1.1492071007945125E-2</v>
      </c>
      <c r="V155" s="171">
        <f t="shared" si="31"/>
        <v>1.8928245240304437E-4</v>
      </c>
      <c r="X155" s="171">
        <f t="shared" si="33"/>
        <v>1.6849864445313199E-2</v>
      </c>
      <c r="Y155" s="171">
        <f t="shared" si="34"/>
        <v>2.7469695614091612E-4</v>
      </c>
    </row>
    <row r="156" spans="13:25" ht="20.100000000000001" customHeight="1" x14ac:dyDescent="0.3">
      <c r="M156" s="171">
        <v>142</v>
      </c>
      <c r="N156" s="171">
        <f t="shared" si="35"/>
        <v>2.4783675378319479</v>
      </c>
      <c r="O156" s="171">
        <f t="shared" si="32"/>
        <v>0.69715880135783825</v>
      </c>
      <c r="P156" s="171">
        <f t="shared" si="29"/>
        <v>26.367680823617476</v>
      </c>
      <c r="Q156" s="171">
        <f t="shared" si="28"/>
        <v>0.44311446701038437</v>
      </c>
      <c r="T156" s="171">
        <f t="shared" si="30"/>
        <v>0.20948571324997098</v>
      </c>
      <c r="U156" s="171">
        <f t="shared" si="26"/>
        <v>1.0198100309215533E-2</v>
      </c>
      <c r="V156" s="171">
        <f t="shared" si="31"/>
        <v>1.6701762942450591E-4</v>
      </c>
      <c r="X156" s="171">
        <f t="shared" si="33"/>
        <v>1.4628088018616356E-2</v>
      </c>
      <c r="Y156" s="171">
        <f t="shared" si="34"/>
        <v>2.3705198354900741E-4</v>
      </c>
    </row>
    <row r="157" spans="13:25" ht="20.100000000000001" customHeight="1" x14ac:dyDescent="0.3">
      <c r="M157" s="171">
        <v>143</v>
      </c>
      <c r="N157" s="171">
        <f t="shared" si="35"/>
        <v>2.4958208303518914</v>
      </c>
      <c r="O157" s="171">
        <f t="shared" si="32"/>
        <v>0.71319890608944436</v>
      </c>
      <c r="P157" s="171">
        <f t="shared" si="29"/>
        <v>24.409496778150469</v>
      </c>
      <c r="Q157" s="171">
        <f t="shared" si="28"/>
        <v>0.40871146820637444</v>
      </c>
      <c r="T157" s="171">
        <f t="shared" si="30"/>
        <v>0.19392835027279384</v>
      </c>
      <c r="U157" s="171">
        <f t="shared" si="26"/>
        <v>8.9407102313928278E-3</v>
      </c>
      <c r="V157" s="171">
        <f t="shared" si="31"/>
        <v>1.4544819768975745E-4</v>
      </c>
      <c r="X157" s="171">
        <f t="shared" si="33"/>
        <v>1.253606834650914E-2</v>
      </c>
      <c r="Y157" s="171">
        <f t="shared" si="34"/>
        <v>2.0173381872126803E-4</v>
      </c>
    </row>
    <row r="158" spans="13:25" ht="20.100000000000001" customHeight="1" x14ac:dyDescent="0.3">
      <c r="M158" s="171">
        <v>144</v>
      </c>
      <c r="N158" s="171">
        <f t="shared" si="35"/>
        <v>2.5132741228718345</v>
      </c>
      <c r="O158" s="171">
        <f t="shared" si="32"/>
        <v>0.73022215937916035</v>
      </c>
      <c r="P158" s="171">
        <f t="shared" si="29"/>
        <v>22.425387555490701</v>
      </c>
      <c r="Q158" s="171">
        <f t="shared" si="28"/>
        <v>0.37386126390196422</v>
      </c>
      <c r="T158" s="171">
        <f t="shared" si="30"/>
        <v>0.17816501718122985</v>
      </c>
      <c r="U158" s="171">
        <f t="shared" si="26"/>
        <v>7.7264254994222755E-3</v>
      </c>
      <c r="V158" s="171">
        <f t="shared" si="31"/>
        <v>1.2469390796367966E-4</v>
      </c>
      <c r="X158" s="171">
        <f t="shared" si="33"/>
        <v>1.0580924449062641E-2</v>
      </c>
      <c r="Y158" s="171">
        <f t="shared" si="34"/>
        <v>1.6886578474646765E-4</v>
      </c>
    </row>
    <row r="159" spans="13:25" ht="20.100000000000001" customHeight="1" x14ac:dyDescent="0.3">
      <c r="M159" s="171">
        <v>145</v>
      </c>
      <c r="N159" s="171">
        <f t="shared" si="35"/>
        <v>2.530727415391778</v>
      </c>
      <c r="O159" s="171">
        <f t="shared" si="32"/>
        <v>0.74831145245573283</v>
      </c>
      <c r="P159" s="171">
        <f t="shared" si="29"/>
        <v>20.415957534527749</v>
      </c>
      <c r="Q159" s="171">
        <f t="shared" si="28"/>
        <v>0.33857446980698636</v>
      </c>
      <c r="T159" s="171">
        <f t="shared" si="30"/>
        <v>0.16220051563924037</v>
      </c>
      <c r="U159" s="171">
        <f t="shared" si="26"/>
        <v>6.5624438152008637E-3</v>
      </c>
      <c r="V159" s="171">
        <f t="shared" si="31"/>
        <v>1.0488710423547393E-4</v>
      </c>
      <c r="X159" s="171">
        <f t="shared" si="33"/>
        <v>8.7696690912118201E-3</v>
      </c>
      <c r="Y159" s="171">
        <f t="shared" si="34"/>
        <v>1.3856926334168524E-4</v>
      </c>
    </row>
    <row r="160" spans="13:25" ht="20.100000000000001" customHeight="1" x14ac:dyDescent="0.3">
      <c r="M160" s="171">
        <v>146</v>
      </c>
      <c r="N160" s="171">
        <f t="shared" si="35"/>
        <v>2.5481807079117211</v>
      </c>
      <c r="O160" s="171">
        <f t="shared" si="32"/>
        <v>0.76755948352747261</v>
      </c>
      <c r="P160" s="171">
        <f t="shared" si="29"/>
        <v>18.381818807111927</v>
      </c>
      <c r="Q160" s="171">
        <f t="shared" si="28"/>
        <v>0.3028618346207535</v>
      </c>
      <c r="T160" s="171">
        <f t="shared" si="30"/>
        <v>0.14603970858864779</v>
      </c>
      <c r="U160" s="171">
        <f t="shared" si="26"/>
        <v>5.456732980881931E-3</v>
      </c>
      <c r="V160" s="171">
        <f t="shared" si="31"/>
        <v>8.6174573342416423E-5</v>
      </c>
      <c r="X160" s="171">
        <f t="shared" si="33"/>
        <v>7.1091988282190556E-3</v>
      </c>
      <c r="Y160" s="171">
        <f t="shared" si="34"/>
        <v>1.10963522191322E-4</v>
      </c>
    </row>
    <row r="161" spans="13:25" ht="20.100000000000001" customHeight="1" x14ac:dyDescent="0.3">
      <c r="M161" s="171">
        <v>147</v>
      </c>
      <c r="N161" s="171">
        <f t="shared" si="35"/>
        <v>2.5656340004316642</v>
      </c>
      <c r="O161" s="171">
        <f t="shared" si="32"/>
        <v>0.78807024209785437</v>
      </c>
      <c r="P161" s="171">
        <f t="shared" si="29"/>
        <v>16.323590991604661</v>
      </c>
      <c r="Q161" s="171">
        <f t="shared" si="28"/>
        <v>0.26673423675789826</v>
      </c>
      <c r="T161" s="171">
        <f t="shared" si="30"/>
        <v>0.1296875187678323</v>
      </c>
      <c r="U161" s="171">
        <f t="shared" si="26"/>
        <v>4.4181457268401341E-3</v>
      </c>
      <c r="V161" s="171">
        <f t="shared" si="31"/>
        <v>6.8719737399602863E-5</v>
      </c>
      <c r="X161" s="171">
        <f t="shared" si="33"/>
        <v>5.6062841747189516E-3</v>
      </c>
      <c r="Y161" s="171">
        <f t="shared" si="34"/>
        <v>8.6165544551350653E-5</v>
      </c>
    </row>
    <row r="162" spans="13:25" ht="20.100000000000001" customHeight="1" x14ac:dyDescent="0.3">
      <c r="M162" s="171">
        <v>148</v>
      </c>
      <c r="N162" s="171">
        <f t="shared" si="35"/>
        <v>2.5830872929516078</v>
      </c>
      <c r="O162" s="171">
        <f t="shared" si="32"/>
        <v>0.80996077166831881</v>
      </c>
      <c r="P162" s="171">
        <f t="shared" si="29"/>
        <v>14.241901044137009</v>
      </c>
      <c r="Q162" s="171">
        <f t="shared" si="28"/>
        <v>0.23020268103470637</v>
      </c>
      <c r="T162" s="171">
        <f t="shared" si="30"/>
        <v>0.11314892721222017</v>
      </c>
      <c r="U162" s="171">
        <f t="shared" si="26"/>
        <v>3.4565561176489912E-3</v>
      </c>
      <c r="V162" s="171">
        <f t="shared" si="31"/>
        <v>5.2705265361338756E-5</v>
      </c>
      <c r="X162" s="171">
        <f t="shared" si="33"/>
        <v>4.2675599097587663E-3</v>
      </c>
      <c r="Y162" s="171">
        <f t="shared" si="34"/>
        <v>6.4289861334049488E-5</v>
      </c>
    </row>
    <row r="163" spans="13:25" ht="20.100000000000001" customHeight="1" x14ac:dyDescent="0.3">
      <c r="M163" s="171">
        <v>149</v>
      </c>
      <c r="N163" s="171">
        <f t="shared" si="35"/>
        <v>2.6005405854715509</v>
      </c>
      <c r="O163" s="171">
        <f t="shared" si="32"/>
        <v>0.83336327368649732</v>
      </c>
      <c r="P163" s="171">
        <f t="shared" si="29"/>
        <v>12.137383067632896</v>
      </c>
      <c r="Q163" s="171">
        <f t="shared" si="28"/>
        <v>0.19327829531694019</v>
      </c>
      <c r="T163" s="171">
        <f t="shared" si="30"/>
        <v>9.6428971737013328E-2</v>
      </c>
      <c r="U163" s="171">
        <f t="shared" si="26"/>
        <v>2.5830224089945291E-3</v>
      </c>
      <c r="V163" s="171">
        <f t="shared" si="31"/>
        <v>3.8336200102520871E-5</v>
      </c>
      <c r="X163" s="171">
        <f t="shared" si="33"/>
        <v>3.099515530085905E-3</v>
      </c>
      <c r="Y163" s="171">
        <f t="shared" si="34"/>
        <v>4.5448385885525739E-5</v>
      </c>
    </row>
    <row r="164" spans="13:25" ht="20.100000000000001" customHeight="1" x14ac:dyDescent="0.3">
      <c r="M164" s="171">
        <v>150</v>
      </c>
      <c r="N164" s="171">
        <f t="shared" si="35"/>
        <v>2.6179938779914944</v>
      </c>
      <c r="O164" s="171">
        <f t="shared" si="32"/>
        <v>0.85842763236046882</v>
      </c>
      <c r="P164" s="171">
        <f t="shared" si="29"/>
        <v>10.010678118654738</v>
      </c>
      <c r="Q164" s="171">
        <f t="shared" si="28"/>
        <v>0.15597232713018386</v>
      </c>
      <c r="T164" s="171">
        <f t="shared" si="30"/>
        <v>7.9532745402618149E-2</v>
      </c>
      <c r="U164" s="171">
        <f t="shared" si="26"/>
        <v>1.8099825278923504E-3</v>
      </c>
      <c r="V164" s="171">
        <f t="shared" si="31"/>
        <v>2.5843723607167288E-5</v>
      </c>
      <c r="X164" s="171">
        <f t="shared" si="33"/>
        <v>2.1084858637592263E-3</v>
      </c>
      <c r="Y164" s="171">
        <f t="shared" si="34"/>
        <v>2.9750251665156405E-5</v>
      </c>
    </row>
    <row r="165" spans="13:25" ht="20.100000000000001" customHeight="1" x14ac:dyDescent="0.3">
      <c r="M165" s="171">
        <v>151</v>
      </c>
      <c r="N165" s="171">
        <f t="shared" si="35"/>
        <v>2.6354471705114375</v>
      </c>
      <c r="O165" s="171">
        <f t="shared" si="32"/>
        <v>0.88532446192413849</v>
      </c>
      <c r="P165" s="171">
        <f t="shared" si="29"/>
        <v>7.8624340121319847</v>
      </c>
      <c r="Q165" s="171">
        <f t="shared" si="28"/>
        <v>0.11829614023373808</v>
      </c>
      <c r="T165" s="171">
        <f t="shared" si="30"/>
        <v>6.2465394963254595E-2</v>
      </c>
      <c r="U165" s="171">
        <f t="shared" si="26"/>
        <v>1.1514900512942445E-3</v>
      </c>
      <c r="V165" s="171">
        <f t="shared" si="31"/>
        <v>1.5489717345381071E-5</v>
      </c>
      <c r="X165" s="171">
        <f t="shared" si="33"/>
        <v>1.3006418559717975E-3</v>
      </c>
      <c r="Y165" s="171">
        <f t="shared" si="34"/>
        <v>1.7301653032618326E-5</v>
      </c>
    </row>
    <row r="166" spans="13:25" ht="20.100000000000001" customHeight="1" x14ac:dyDescent="0.3">
      <c r="M166" s="171">
        <v>152</v>
      </c>
      <c r="N166" s="171">
        <f t="shared" si="35"/>
        <v>2.6529004630313811</v>
      </c>
      <c r="O166" s="171">
        <f t="shared" si="32"/>
        <v>0.91424880696338051</v>
      </c>
      <c r="P166" s="171">
        <f t="shared" si="29"/>
        <v>5.6933051240298624</v>
      </c>
      <c r="Q166" s="171">
        <f t="shared" si="28"/>
        <v>8.0261211159108808E-2</v>
      </c>
      <c r="T166" s="171">
        <f t="shared" si="30"/>
        <v>4.5232119299200624E-2</v>
      </c>
      <c r="U166" s="171">
        <f t="shared" si="26"/>
        <v>6.2350080818759695E-4</v>
      </c>
      <c r="V166" s="171">
        <f t="shared" si="31"/>
        <v>7.5723207352995005E-6</v>
      </c>
      <c r="X166" s="171">
        <f t="shared" si="33"/>
        <v>6.8198153876570589E-4</v>
      </c>
      <c r="Y166" s="171">
        <f t="shared" si="34"/>
        <v>8.2056893444789331E-6</v>
      </c>
    </row>
    <row r="167" spans="13:25" ht="20.100000000000001" customHeight="1" x14ac:dyDescent="0.3">
      <c r="M167" s="171">
        <v>153</v>
      </c>
      <c r="N167" s="171">
        <f t="shared" si="35"/>
        <v>2.6703537555513241</v>
      </c>
      <c r="O167" s="171">
        <f t="shared" si="32"/>
        <v>0.94542466511187606</v>
      </c>
      <c r="P167" s="171">
        <f t="shared" si="29"/>
        <v>3.5039521920206198</v>
      </c>
      <c r="Q167" s="171">
        <f t="shared" si="28"/>
        <v>4.1879125714144989E-2</v>
      </c>
      <c r="T167" s="171">
        <f t="shared" si="30"/>
        <v>2.7838167833166866E-2</v>
      </c>
      <c r="U167" s="171">
        <f t="shared" si="26"/>
        <v>2.4422323031652628E-4</v>
      </c>
      <c r="V167" s="171">
        <f t="shared" si="31"/>
        <v>2.4327520092270545E-6</v>
      </c>
      <c r="X167" s="171">
        <f t="shared" si="33"/>
        <v>2.5832119610252213E-4</v>
      </c>
      <c r="Y167" s="171">
        <f t="shared" si="34"/>
        <v>2.5622125583730162E-6</v>
      </c>
    </row>
    <row r="168" spans="13:25" ht="20.100000000000001" customHeight="1" x14ac:dyDescent="0.3">
      <c r="M168" s="171">
        <v>154</v>
      </c>
      <c r="N168" s="171">
        <f t="shared" si="35"/>
        <v>2.6878070480712677</v>
      </c>
      <c r="O168" s="171">
        <f t="shared" si="32"/>
        <v>0.97911055352087528</v>
      </c>
      <c r="P168" s="171">
        <f t="shared" si="29"/>
        <v>1.2950421142159954</v>
      </c>
      <c r="Q168" s="171">
        <f t="shared" si="28"/>
        <v>1.1301374422528793E-2</v>
      </c>
      <c r="T168" s="171">
        <f t="shared" si="30"/>
        <v>1.0288838931268153E-2</v>
      </c>
      <c r="U168" s="171">
        <f t="shared" si="26"/>
        <v>3.4549615144836366E-5</v>
      </c>
      <c r="V168" s="171">
        <f t="shared" si="31"/>
        <v>3.015022697871461E-7</v>
      </c>
      <c r="X168" s="171">
        <f t="shared" si="33"/>
        <v>3.5286735517859726E-5</v>
      </c>
      <c r="Y168" s="171">
        <f t="shared" si="34"/>
        <v>3.079348585335393E-7</v>
      </c>
    </row>
    <row r="169" spans="13:25" ht="20.100000000000001" customHeight="1" x14ac:dyDescent="0.3">
      <c r="M169" s="171">
        <v>155</v>
      </c>
      <c r="N169" s="171">
        <f t="shared" si="35"/>
        <v>2.7052603405912108</v>
      </c>
      <c r="O169" s="171">
        <f t="shared" si="32"/>
        <v>1</v>
      </c>
      <c r="P169" s="171">
        <f t="shared" si="29"/>
        <v>0</v>
      </c>
      <c r="Q169" s="171">
        <f t="shared" si="28"/>
        <v>0</v>
      </c>
      <c r="T169" s="171">
        <f t="shared" si="30"/>
        <v>0</v>
      </c>
      <c r="U169" s="171">
        <f t="shared" si="26"/>
        <v>0</v>
      </c>
      <c r="V169" s="171">
        <f t="shared" si="31"/>
        <v>0</v>
      </c>
      <c r="X169" s="171">
        <f t="shared" si="33"/>
        <v>0</v>
      </c>
      <c r="Y169" s="171">
        <f t="shared" si="34"/>
        <v>0</v>
      </c>
    </row>
    <row r="170" spans="13:25" ht="20.100000000000001" customHeight="1" x14ac:dyDescent="0.3">
      <c r="M170" s="171">
        <v>156</v>
      </c>
      <c r="N170" s="171">
        <f t="shared" si="35"/>
        <v>2.7227136331111539</v>
      </c>
      <c r="O170" s="171">
        <f t="shared" si="32"/>
        <v>1</v>
      </c>
      <c r="P170" s="171">
        <f t="shared" si="29"/>
        <v>0</v>
      </c>
      <c r="Q170" s="171">
        <f t="shared" si="28"/>
        <v>0</v>
      </c>
      <c r="T170" s="171">
        <f t="shared" si="30"/>
        <v>0</v>
      </c>
      <c r="U170" s="171">
        <f t="shared" si="26"/>
        <v>0</v>
      </c>
      <c r="V170" s="171">
        <f t="shared" si="31"/>
        <v>0</v>
      </c>
      <c r="X170" s="171">
        <f t="shared" si="33"/>
        <v>0</v>
      </c>
      <c r="Y170" s="171">
        <f t="shared" si="34"/>
        <v>0</v>
      </c>
    </row>
    <row r="171" spans="13:25" ht="20.100000000000001" customHeight="1" x14ac:dyDescent="0.3">
      <c r="M171" s="171">
        <v>157</v>
      </c>
      <c r="N171" s="171">
        <f t="shared" si="35"/>
        <v>2.7401669256310974</v>
      </c>
      <c r="O171" s="171">
        <f t="shared" si="32"/>
        <v>1</v>
      </c>
      <c r="P171" s="171">
        <f t="shared" si="29"/>
        <v>0</v>
      </c>
      <c r="Q171" s="171">
        <f t="shared" si="28"/>
        <v>0</v>
      </c>
      <c r="T171" s="171">
        <f t="shared" si="30"/>
        <v>0</v>
      </c>
      <c r="U171" s="171">
        <f t="shared" si="26"/>
        <v>0</v>
      </c>
      <c r="V171" s="171">
        <f t="shared" si="31"/>
        <v>0</v>
      </c>
      <c r="X171" s="171">
        <f t="shared" si="33"/>
        <v>0</v>
      </c>
      <c r="Y171" s="171">
        <f t="shared" si="34"/>
        <v>0</v>
      </c>
    </row>
    <row r="172" spans="13:25" ht="20.100000000000001" customHeight="1" x14ac:dyDescent="0.3">
      <c r="M172" s="171">
        <v>158</v>
      </c>
      <c r="N172" s="171">
        <f t="shared" si="35"/>
        <v>2.7576202181510405</v>
      </c>
      <c r="O172" s="171">
        <f t="shared" si="32"/>
        <v>1</v>
      </c>
      <c r="P172" s="171">
        <f t="shared" si="29"/>
        <v>0</v>
      </c>
      <c r="Q172" s="171">
        <f t="shared" si="28"/>
        <v>0</v>
      </c>
      <c r="T172" s="171">
        <f t="shared" si="30"/>
        <v>0</v>
      </c>
      <c r="U172" s="171">
        <f t="shared" si="26"/>
        <v>0</v>
      </c>
      <c r="V172" s="171">
        <f t="shared" si="31"/>
        <v>0</v>
      </c>
      <c r="X172" s="171">
        <f t="shared" si="33"/>
        <v>0</v>
      </c>
      <c r="Y172" s="171">
        <f t="shared" si="34"/>
        <v>0</v>
      </c>
    </row>
    <row r="173" spans="13:25" ht="20.100000000000001" customHeight="1" x14ac:dyDescent="0.3">
      <c r="M173" s="171">
        <v>159</v>
      </c>
      <c r="N173" s="171">
        <f t="shared" si="35"/>
        <v>2.7750735106709841</v>
      </c>
      <c r="O173" s="171">
        <f t="shared" si="32"/>
        <v>1</v>
      </c>
      <c r="P173" s="171">
        <f t="shared" si="29"/>
        <v>0</v>
      </c>
      <c r="Q173" s="171">
        <f t="shared" si="28"/>
        <v>0</v>
      </c>
      <c r="T173" s="171">
        <f t="shared" si="30"/>
        <v>0</v>
      </c>
      <c r="U173" s="171">
        <f t="shared" si="26"/>
        <v>0</v>
      </c>
      <c r="V173" s="171">
        <f t="shared" si="31"/>
        <v>0</v>
      </c>
      <c r="X173" s="171">
        <f t="shared" si="33"/>
        <v>0</v>
      </c>
      <c r="Y173" s="171">
        <f t="shared" si="34"/>
        <v>0</v>
      </c>
    </row>
    <row r="174" spans="13:25" ht="20.100000000000001" customHeight="1" x14ac:dyDescent="0.3">
      <c r="M174" s="171">
        <v>160</v>
      </c>
      <c r="N174" s="171">
        <f t="shared" si="35"/>
        <v>2.7925268031909272</v>
      </c>
      <c r="O174" s="171">
        <f t="shared" si="32"/>
        <v>1</v>
      </c>
      <c r="P174" s="171">
        <f t="shared" ref="P174:P194" si="36">(Vacmin*SIN(N174)-(Vout+Vdf))*(Vacmin*SIN(N174)-(Vout+Vdf)&gt;0)</f>
        <v>0</v>
      </c>
      <c r="Q174" s="171">
        <f t="shared" si="28"/>
        <v>0</v>
      </c>
      <c r="T174" s="171">
        <f t="shared" ref="T174:T194" si="37">P174*Iout/1000*2*PI()/integral</f>
        <v>0</v>
      </c>
      <c r="U174" s="171">
        <f t="shared" si="26"/>
        <v>0</v>
      </c>
      <c r="V174" s="171">
        <f t="shared" si="31"/>
        <v>0</v>
      </c>
      <c r="X174" s="171">
        <f t="shared" si="33"/>
        <v>0</v>
      </c>
      <c r="Y174" s="171">
        <f t="shared" si="34"/>
        <v>0</v>
      </c>
    </row>
    <row r="175" spans="13:25" ht="20.100000000000001" customHeight="1" x14ac:dyDescent="0.3">
      <c r="M175" s="171">
        <v>161</v>
      </c>
      <c r="N175" s="171">
        <f t="shared" si="35"/>
        <v>2.8099800957108707</v>
      </c>
      <c r="O175" s="171">
        <f t="shared" ref="O175:O194" si="38">IF((Vout+Vdf)/Vacmin/SIN(N175)&gt;1,1,(Vout+Vdf)/Vacmin/SIN(N175))</f>
        <v>1</v>
      </c>
      <c r="P175" s="171">
        <f t="shared" si="36"/>
        <v>0</v>
      </c>
      <c r="Q175" s="171">
        <f t="shared" si="28"/>
        <v>0</v>
      </c>
      <c r="T175" s="171">
        <f t="shared" si="37"/>
        <v>0</v>
      </c>
      <c r="U175" s="171">
        <f t="shared" si="26"/>
        <v>0</v>
      </c>
      <c r="V175" s="171">
        <f t="shared" si="31"/>
        <v>0</v>
      </c>
      <c r="X175" s="171">
        <f t="shared" si="33"/>
        <v>0</v>
      </c>
      <c r="Y175" s="171">
        <f t="shared" si="34"/>
        <v>0</v>
      </c>
    </row>
    <row r="176" spans="13:25" ht="20.100000000000001" customHeight="1" x14ac:dyDescent="0.3">
      <c r="M176" s="171">
        <v>162</v>
      </c>
      <c r="N176" s="171">
        <f t="shared" si="35"/>
        <v>2.8274333882308138</v>
      </c>
      <c r="O176" s="171">
        <f t="shared" si="38"/>
        <v>1</v>
      </c>
      <c r="P176" s="171">
        <f t="shared" si="36"/>
        <v>0</v>
      </c>
      <c r="Q176" s="171">
        <f t="shared" si="28"/>
        <v>0</v>
      </c>
      <c r="T176" s="171">
        <f t="shared" si="37"/>
        <v>0</v>
      </c>
      <c r="U176" s="171">
        <f t="shared" si="26"/>
        <v>0</v>
      </c>
      <c r="V176" s="171">
        <f t="shared" si="31"/>
        <v>0</v>
      </c>
      <c r="X176" s="171">
        <f t="shared" si="33"/>
        <v>0</v>
      </c>
      <c r="Y176" s="171">
        <f t="shared" si="34"/>
        <v>0</v>
      </c>
    </row>
    <row r="177" spans="13:25" ht="20.100000000000001" customHeight="1" x14ac:dyDescent="0.3">
      <c r="M177" s="171">
        <v>163</v>
      </c>
      <c r="N177" s="171">
        <f t="shared" si="35"/>
        <v>2.8448866807507573</v>
      </c>
      <c r="O177" s="171">
        <f t="shared" si="38"/>
        <v>1</v>
      </c>
      <c r="P177" s="171">
        <f t="shared" si="36"/>
        <v>0</v>
      </c>
      <c r="Q177" s="171">
        <f t="shared" si="28"/>
        <v>0</v>
      </c>
      <c r="T177" s="171">
        <f t="shared" si="37"/>
        <v>0</v>
      </c>
      <c r="U177" s="171">
        <f t="shared" si="26"/>
        <v>0</v>
      </c>
      <c r="V177" s="171">
        <f t="shared" si="31"/>
        <v>0</v>
      </c>
      <c r="X177" s="171">
        <f t="shared" si="33"/>
        <v>0</v>
      </c>
      <c r="Y177" s="171">
        <f t="shared" si="34"/>
        <v>0</v>
      </c>
    </row>
    <row r="178" spans="13:25" ht="20.100000000000001" customHeight="1" x14ac:dyDescent="0.3">
      <c r="M178" s="171">
        <v>164</v>
      </c>
      <c r="N178" s="171">
        <f t="shared" si="35"/>
        <v>2.8623399732707004</v>
      </c>
      <c r="O178" s="171">
        <f t="shared" si="38"/>
        <v>1</v>
      </c>
      <c r="P178" s="171">
        <f t="shared" si="36"/>
        <v>0</v>
      </c>
      <c r="Q178" s="171">
        <f t="shared" si="28"/>
        <v>0</v>
      </c>
      <c r="T178" s="171">
        <f t="shared" si="37"/>
        <v>0</v>
      </c>
      <c r="U178" s="171">
        <f t="shared" ref="U178:U194" si="39">T178^2*O178/3</f>
        <v>0</v>
      </c>
      <c r="V178" s="171">
        <f t="shared" si="31"/>
        <v>0</v>
      </c>
      <c r="X178" s="171">
        <f t="shared" si="33"/>
        <v>0</v>
      </c>
      <c r="Y178" s="171">
        <f t="shared" si="34"/>
        <v>0</v>
      </c>
    </row>
    <row r="179" spans="13:25" ht="20.100000000000001" customHeight="1" x14ac:dyDescent="0.3">
      <c r="M179" s="171">
        <v>165</v>
      </c>
      <c r="N179" s="171">
        <f t="shared" si="35"/>
        <v>2.8797932657906435</v>
      </c>
      <c r="O179" s="171">
        <f t="shared" si="38"/>
        <v>1</v>
      </c>
      <c r="P179" s="171">
        <f t="shared" si="36"/>
        <v>0</v>
      </c>
      <c r="Q179" s="171">
        <f t="shared" si="28"/>
        <v>0</v>
      </c>
      <c r="T179" s="171">
        <f t="shared" si="37"/>
        <v>0</v>
      </c>
      <c r="U179" s="171">
        <f t="shared" si="39"/>
        <v>0</v>
      </c>
      <c r="V179" s="171">
        <f t="shared" si="31"/>
        <v>0</v>
      </c>
      <c r="X179" s="171">
        <f t="shared" si="33"/>
        <v>0</v>
      </c>
      <c r="Y179" s="171">
        <f t="shared" si="34"/>
        <v>0</v>
      </c>
    </row>
    <row r="180" spans="13:25" ht="20.100000000000001" customHeight="1" x14ac:dyDescent="0.3">
      <c r="M180" s="171">
        <v>166</v>
      </c>
      <c r="N180" s="171">
        <f t="shared" si="35"/>
        <v>2.8972465583105871</v>
      </c>
      <c r="O180" s="171">
        <f t="shared" si="38"/>
        <v>1</v>
      </c>
      <c r="P180" s="171">
        <f t="shared" si="36"/>
        <v>0</v>
      </c>
      <c r="Q180" s="171">
        <f t="shared" si="28"/>
        <v>0</v>
      </c>
      <c r="T180" s="171">
        <f t="shared" si="37"/>
        <v>0</v>
      </c>
      <c r="U180" s="171">
        <f t="shared" si="39"/>
        <v>0</v>
      </c>
      <c r="V180" s="171">
        <f t="shared" si="31"/>
        <v>0</v>
      </c>
      <c r="X180" s="171">
        <f t="shared" si="33"/>
        <v>0</v>
      </c>
      <c r="Y180" s="171">
        <f t="shared" si="34"/>
        <v>0</v>
      </c>
    </row>
    <row r="181" spans="13:25" ht="20.100000000000001" customHeight="1" x14ac:dyDescent="0.3">
      <c r="M181" s="171">
        <v>167</v>
      </c>
      <c r="N181" s="171">
        <f t="shared" si="35"/>
        <v>2.9146998508305302</v>
      </c>
      <c r="O181" s="171">
        <f t="shared" si="38"/>
        <v>1</v>
      </c>
      <c r="P181" s="171">
        <f t="shared" si="36"/>
        <v>0</v>
      </c>
      <c r="Q181" s="171">
        <f t="shared" si="28"/>
        <v>0</v>
      </c>
      <c r="T181" s="171">
        <f t="shared" si="37"/>
        <v>0</v>
      </c>
      <c r="U181" s="171">
        <f t="shared" si="39"/>
        <v>0</v>
      </c>
      <c r="V181" s="171">
        <f t="shared" si="31"/>
        <v>0</v>
      </c>
      <c r="X181" s="171">
        <f t="shared" si="33"/>
        <v>0</v>
      </c>
      <c r="Y181" s="171">
        <f t="shared" si="34"/>
        <v>0</v>
      </c>
    </row>
    <row r="182" spans="13:25" ht="20.100000000000001" customHeight="1" x14ac:dyDescent="0.3">
      <c r="M182" s="171">
        <v>168</v>
      </c>
      <c r="N182" s="171">
        <f t="shared" si="35"/>
        <v>2.9321531433504737</v>
      </c>
      <c r="O182" s="171">
        <f t="shared" si="38"/>
        <v>1</v>
      </c>
      <c r="P182" s="171">
        <f t="shared" si="36"/>
        <v>0</v>
      </c>
      <c r="Q182" s="171">
        <f t="shared" si="28"/>
        <v>0</v>
      </c>
      <c r="T182" s="171">
        <f t="shared" si="37"/>
        <v>0</v>
      </c>
      <c r="U182" s="171">
        <f t="shared" si="39"/>
        <v>0</v>
      </c>
      <c r="V182" s="171">
        <f t="shared" si="31"/>
        <v>0</v>
      </c>
      <c r="X182" s="171">
        <f t="shared" si="33"/>
        <v>0</v>
      </c>
      <c r="Y182" s="171">
        <f t="shared" si="34"/>
        <v>0</v>
      </c>
    </row>
    <row r="183" spans="13:25" ht="20.100000000000001" customHeight="1" x14ac:dyDescent="0.3">
      <c r="M183" s="171">
        <v>169</v>
      </c>
      <c r="N183" s="171">
        <f t="shared" si="35"/>
        <v>2.9496064358704168</v>
      </c>
      <c r="O183" s="171">
        <f t="shared" si="38"/>
        <v>1</v>
      </c>
      <c r="P183" s="171">
        <f t="shared" si="36"/>
        <v>0</v>
      </c>
      <c r="Q183" s="171">
        <f t="shared" si="28"/>
        <v>0</v>
      </c>
      <c r="T183" s="171">
        <f t="shared" si="37"/>
        <v>0</v>
      </c>
      <c r="U183" s="171">
        <f t="shared" si="39"/>
        <v>0</v>
      </c>
      <c r="V183" s="171">
        <f t="shared" si="31"/>
        <v>0</v>
      </c>
      <c r="X183" s="171">
        <f t="shared" si="33"/>
        <v>0</v>
      </c>
      <c r="Y183" s="171">
        <f t="shared" si="34"/>
        <v>0</v>
      </c>
    </row>
    <row r="184" spans="13:25" ht="20.100000000000001" customHeight="1" x14ac:dyDescent="0.3">
      <c r="M184" s="171">
        <v>170</v>
      </c>
      <c r="N184" s="171">
        <f t="shared" si="35"/>
        <v>2.9670597283903604</v>
      </c>
      <c r="O184" s="171">
        <f t="shared" si="38"/>
        <v>1</v>
      </c>
      <c r="P184" s="171">
        <f t="shared" si="36"/>
        <v>0</v>
      </c>
      <c r="Q184" s="171">
        <f t="shared" si="28"/>
        <v>0</v>
      </c>
      <c r="T184" s="171">
        <f t="shared" si="37"/>
        <v>0</v>
      </c>
      <c r="U184" s="171">
        <f t="shared" si="39"/>
        <v>0</v>
      </c>
      <c r="V184" s="171">
        <f t="shared" si="31"/>
        <v>0</v>
      </c>
      <c r="X184" s="171">
        <f t="shared" si="33"/>
        <v>0</v>
      </c>
      <c r="Y184" s="171">
        <f t="shared" si="34"/>
        <v>0</v>
      </c>
    </row>
    <row r="185" spans="13:25" ht="20.100000000000001" customHeight="1" x14ac:dyDescent="0.3">
      <c r="M185" s="171">
        <v>171</v>
      </c>
      <c r="N185" s="171">
        <f t="shared" si="35"/>
        <v>2.9845130209103035</v>
      </c>
      <c r="O185" s="171">
        <f t="shared" si="38"/>
        <v>1</v>
      </c>
      <c r="P185" s="171">
        <f t="shared" si="36"/>
        <v>0</v>
      </c>
      <c r="Q185" s="171">
        <f t="shared" si="28"/>
        <v>0</v>
      </c>
      <c r="T185" s="171">
        <f t="shared" si="37"/>
        <v>0</v>
      </c>
      <c r="U185" s="171">
        <f t="shared" si="39"/>
        <v>0</v>
      </c>
      <c r="V185" s="171">
        <f t="shared" si="31"/>
        <v>0</v>
      </c>
      <c r="X185" s="171">
        <f t="shared" si="33"/>
        <v>0</v>
      </c>
      <c r="Y185" s="171">
        <f t="shared" si="34"/>
        <v>0</v>
      </c>
    </row>
    <row r="186" spans="13:25" ht="20.100000000000001" customHeight="1" x14ac:dyDescent="0.3">
      <c r="M186" s="171">
        <v>172</v>
      </c>
      <c r="N186" s="171">
        <f t="shared" si="35"/>
        <v>3.001966313430247</v>
      </c>
      <c r="O186" s="171">
        <f t="shared" si="38"/>
        <v>1</v>
      </c>
      <c r="P186" s="171">
        <f t="shared" si="36"/>
        <v>0</v>
      </c>
      <c r="Q186" s="171">
        <f t="shared" si="28"/>
        <v>0</v>
      </c>
      <c r="T186" s="171">
        <f t="shared" si="37"/>
        <v>0</v>
      </c>
      <c r="U186" s="171">
        <f t="shared" si="39"/>
        <v>0</v>
      </c>
      <c r="V186" s="171">
        <f t="shared" si="31"/>
        <v>0</v>
      </c>
      <c r="X186" s="171">
        <f t="shared" si="33"/>
        <v>0</v>
      </c>
      <c r="Y186" s="171">
        <f t="shared" si="34"/>
        <v>0</v>
      </c>
    </row>
    <row r="187" spans="13:25" ht="20.100000000000001" customHeight="1" x14ac:dyDescent="0.3">
      <c r="M187" s="171">
        <v>173</v>
      </c>
      <c r="N187" s="171">
        <f t="shared" si="35"/>
        <v>3.0194196059501901</v>
      </c>
      <c r="O187" s="171">
        <f t="shared" si="38"/>
        <v>1</v>
      </c>
      <c r="P187" s="171">
        <f t="shared" si="36"/>
        <v>0</v>
      </c>
      <c r="Q187" s="171">
        <f t="shared" si="28"/>
        <v>0</v>
      </c>
      <c r="T187" s="171">
        <f t="shared" si="37"/>
        <v>0</v>
      </c>
      <c r="U187" s="171">
        <f t="shared" si="39"/>
        <v>0</v>
      </c>
      <c r="V187" s="171">
        <f t="shared" si="31"/>
        <v>0</v>
      </c>
      <c r="X187" s="171">
        <f t="shared" si="33"/>
        <v>0</v>
      </c>
      <c r="Y187" s="171">
        <f t="shared" si="34"/>
        <v>0</v>
      </c>
    </row>
    <row r="188" spans="13:25" ht="20.100000000000001" customHeight="1" x14ac:dyDescent="0.3">
      <c r="M188" s="171">
        <v>174</v>
      </c>
      <c r="N188" s="171">
        <f t="shared" si="35"/>
        <v>3.0368728984701332</v>
      </c>
      <c r="O188" s="171">
        <f t="shared" si="38"/>
        <v>1</v>
      </c>
      <c r="P188" s="171">
        <f t="shared" si="36"/>
        <v>0</v>
      </c>
      <c r="Q188" s="171">
        <f t="shared" si="28"/>
        <v>0</v>
      </c>
      <c r="T188" s="171">
        <f t="shared" si="37"/>
        <v>0</v>
      </c>
      <c r="U188" s="171">
        <f t="shared" si="39"/>
        <v>0</v>
      </c>
      <c r="V188" s="171">
        <f t="shared" si="31"/>
        <v>0</v>
      </c>
      <c r="X188" s="171">
        <f t="shared" si="33"/>
        <v>0</v>
      </c>
      <c r="Y188" s="171">
        <f t="shared" si="34"/>
        <v>0</v>
      </c>
    </row>
    <row r="189" spans="13:25" ht="20.100000000000001" customHeight="1" x14ac:dyDescent="0.3">
      <c r="M189" s="171">
        <v>175</v>
      </c>
      <c r="N189" s="171">
        <f t="shared" si="35"/>
        <v>3.0543261909900767</v>
      </c>
      <c r="O189" s="171">
        <f t="shared" si="38"/>
        <v>1</v>
      </c>
      <c r="P189" s="171">
        <f t="shared" si="36"/>
        <v>0</v>
      </c>
      <c r="Q189" s="171">
        <f t="shared" si="28"/>
        <v>0</v>
      </c>
      <c r="T189" s="171">
        <f t="shared" si="37"/>
        <v>0</v>
      </c>
      <c r="U189" s="171">
        <f t="shared" si="39"/>
        <v>0</v>
      </c>
      <c r="V189" s="171">
        <f t="shared" si="31"/>
        <v>0</v>
      </c>
      <c r="X189" s="171">
        <f t="shared" si="33"/>
        <v>0</v>
      </c>
      <c r="Y189" s="171">
        <f t="shared" si="34"/>
        <v>0</v>
      </c>
    </row>
    <row r="190" spans="13:25" ht="20.100000000000001" customHeight="1" x14ac:dyDescent="0.3">
      <c r="M190" s="171">
        <v>176</v>
      </c>
      <c r="N190" s="171">
        <f t="shared" si="35"/>
        <v>3.0717794835100198</v>
      </c>
      <c r="O190" s="171">
        <f t="shared" si="38"/>
        <v>1</v>
      </c>
      <c r="P190" s="171">
        <f t="shared" si="36"/>
        <v>0</v>
      </c>
      <c r="Q190" s="171">
        <f t="shared" si="28"/>
        <v>0</v>
      </c>
      <c r="T190" s="171">
        <f t="shared" si="37"/>
        <v>0</v>
      </c>
      <c r="U190" s="171">
        <f t="shared" si="39"/>
        <v>0</v>
      </c>
      <c r="V190" s="171">
        <f t="shared" si="31"/>
        <v>0</v>
      </c>
      <c r="X190" s="171">
        <f t="shared" si="33"/>
        <v>0</v>
      </c>
      <c r="Y190" s="171">
        <f t="shared" si="34"/>
        <v>0</v>
      </c>
    </row>
    <row r="191" spans="13:25" ht="20.100000000000001" customHeight="1" x14ac:dyDescent="0.3">
      <c r="M191" s="171">
        <v>177</v>
      </c>
      <c r="N191" s="171">
        <f t="shared" si="35"/>
        <v>3.0892327760299634</v>
      </c>
      <c r="O191" s="171">
        <f t="shared" si="38"/>
        <v>1</v>
      </c>
      <c r="P191" s="171">
        <f t="shared" si="36"/>
        <v>0</v>
      </c>
      <c r="Q191" s="171">
        <f t="shared" si="28"/>
        <v>0</v>
      </c>
      <c r="T191" s="171">
        <f t="shared" si="37"/>
        <v>0</v>
      </c>
      <c r="U191" s="171">
        <f t="shared" si="39"/>
        <v>0</v>
      </c>
      <c r="V191" s="171">
        <f t="shared" si="31"/>
        <v>0</v>
      </c>
      <c r="X191" s="171">
        <f t="shared" si="33"/>
        <v>0</v>
      </c>
      <c r="Y191" s="171">
        <f t="shared" si="34"/>
        <v>0</v>
      </c>
    </row>
    <row r="192" spans="13:25" ht="20.100000000000001" customHeight="1" x14ac:dyDescent="0.3">
      <c r="M192" s="171">
        <v>178</v>
      </c>
      <c r="N192" s="171">
        <f t="shared" si="35"/>
        <v>3.1066860685499065</v>
      </c>
      <c r="O192" s="171">
        <f t="shared" si="38"/>
        <v>1</v>
      </c>
      <c r="P192" s="171">
        <f t="shared" si="36"/>
        <v>0</v>
      </c>
      <c r="Q192" s="171">
        <f t="shared" si="28"/>
        <v>0</v>
      </c>
      <c r="T192" s="171">
        <f t="shared" si="37"/>
        <v>0</v>
      </c>
      <c r="U192" s="171">
        <f t="shared" si="39"/>
        <v>0</v>
      </c>
      <c r="V192" s="171">
        <f t="shared" si="31"/>
        <v>0</v>
      </c>
      <c r="X192" s="171">
        <f t="shared" si="33"/>
        <v>0</v>
      </c>
      <c r="Y192" s="171">
        <f t="shared" si="34"/>
        <v>0</v>
      </c>
    </row>
    <row r="193" spans="13:25" ht="20.100000000000001" customHeight="1" x14ac:dyDescent="0.3">
      <c r="M193" s="171">
        <v>179</v>
      </c>
      <c r="N193" s="171">
        <f t="shared" si="35"/>
        <v>3.12413936106985</v>
      </c>
      <c r="O193" s="171">
        <f t="shared" si="38"/>
        <v>1</v>
      </c>
      <c r="P193" s="171">
        <f t="shared" si="36"/>
        <v>0</v>
      </c>
      <c r="Q193" s="171">
        <f t="shared" si="28"/>
        <v>0</v>
      </c>
      <c r="T193" s="171">
        <f t="shared" si="37"/>
        <v>0</v>
      </c>
      <c r="U193" s="171">
        <f t="shared" si="39"/>
        <v>0</v>
      </c>
      <c r="V193" s="171">
        <f t="shared" si="31"/>
        <v>0</v>
      </c>
      <c r="X193" s="171">
        <f t="shared" si="33"/>
        <v>0</v>
      </c>
      <c r="Y193" s="171">
        <f t="shared" si="34"/>
        <v>0</v>
      </c>
    </row>
    <row r="194" spans="13:25" ht="20.100000000000001" customHeight="1" x14ac:dyDescent="0.3">
      <c r="M194" s="171">
        <v>180</v>
      </c>
      <c r="N194" s="171">
        <f t="shared" si="35"/>
        <v>3.1415926535897931</v>
      </c>
      <c r="O194" s="171">
        <f t="shared" si="38"/>
        <v>1</v>
      </c>
      <c r="P194" s="171">
        <f t="shared" si="36"/>
        <v>0</v>
      </c>
      <c r="Q194" s="171">
        <f t="shared" si="28"/>
        <v>0</v>
      </c>
      <c r="T194" s="171">
        <f t="shared" si="37"/>
        <v>0</v>
      </c>
      <c r="U194" s="171">
        <f t="shared" si="39"/>
        <v>0</v>
      </c>
      <c r="V194" s="171">
        <f t="shared" si="31"/>
        <v>0</v>
      </c>
      <c r="X194" s="171">
        <f t="shared" si="33"/>
        <v>0</v>
      </c>
      <c r="Y194" s="171">
        <f t="shared" si="34"/>
        <v>0</v>
      </c>
    </row>
    <row r="195" spans="13:25" ht="20.100000000000001" customHeight="1" x14ac:dyDescent="0.3">
      <c r="M195" s="171"/>
    </row>
    <row r="196" spans="13:25" ht="20.100000000000001" customHeight="1" x14ac:dyDescent="0.3">
      <c r="M196" s="171"/>
    </row>
    <row r="197" spans="13:25" ht="20.100000000000001" customHeight="1" x14ac:dyDescent="0.3">
      <c r="M197" s="171"/>
    </row>
    <row r="198" spans="13:25" ht="20.100000000000001" customHeight="1" x14ac:dyDescent="0.3">
      <c r="M198" s="171"/>
    </row>
    <row r="199" spans="13:25" ht="20.100000000000001" customHeight="1" x14ac:dyDescent="0.3">
      <c r="M199" s="171"/>
    </row>
    <row r="200" spans="13:25" ht="20.100000000000001" customHeight="1" x14ac:dyDescent="0.3">
      <c r="M200" s="171"/>
    </row>
    <row r="201" spans="13:25" ht="20.100000000000001" customHeight="1" x14ac:dyDescent="0.3">
      <c r="M201" s="171"/>
    </row>
    <row r="202" spans="13:25" ht="20.100000000000001" customHeight="1" x14ac:dyDescent="0.3">
      <c r="M202" s="171"/>
    </row>
    <row r="203" spans="13:25" ht="20.100000000000001" customHeight="1" x14ac:dyDescent="0.3">
      <c r="M203" s="171"/>
    </row>
    <row r="204" spans="13:25" ht="20.100000000000001" customHeight="1" x14ac:dyDescent="0.3">
      <c r="M204" s="171"/>
    </row>
    <row r="205" spans="13:25" ht="20.100000000000001" customHeight="1" x14ac:dyDescent="0.3">
      <c r="M205" s="171"/>
    </row>
    <row r="206" spans="13:25" ht="20.100000000000001" customHeight="1" x14ac:dyDescent="0.3">
      <c r="M206" s="171"/>
    </row>
    <row r="207" spans="13:25" ht="20.100000000000001" customHeight="1" x14ac:dyDescent="0.3">
      <c r="M207" s="171"/>
    </row>
    <row r="208" spans="13:25" ht="20.100000000000001" customHeight="1" x14ac:dyDescent="0.3">
      <c r="M208" s="171"/>
    </row>
    <row r="209" spans="13:13" ht="20.100000000000001" customHeight="1" x14ac:dyDescent="0.3">
      <c r="M209" s="171"/>
    </row>
    <row r="210" spans="13:13" ht="20.100000000000001" customHeight="1" x14ac:dyDescent="0.3">
      <c r="M210" s="171"/>
    </row>
    <row r="211" spans="13:13" ht="20.100000000000001" customHeight="1" x14ac:dyDescent="0.3">
      <c r="M211" s="171"/>
    </row>
    <row r="212" spans="13:13" ht="20.100000000000001" customHeight="1" x14ac:dyDescent="0.3">
      <c r="M212" s="171"/>
    </row>
    <row r="213" spans="13:13" ht="20.100000000000001" customHeight="1" x14ac:dyDescent="0.3">
      <c r="M213" s="171"/>
    </row>
    <row r="214" spans="13:13" ht="20.100000000000001" customHeight="1" x14ac:dyDescent="0.3">
      <c r="M214" s="171"/>
    </row>
    <row r="215" spans="13:13" ht="20.100000000000001" customHeight="1" x14ac:dyDescent="0.3">
      <c r="M215" s="171"/>
    </row>
    <row r="216" spans="13:13" ht="20.100000000000001" customHeight="1" x14ac:dyDescent="0.3">
      <c r="M216" s="171"/>
    </row>
    <row r="217" spans="13:13" ht="20.100000000000001" customHeight="1" x14ac:dyDescent="0.3">
      <c r="M217" s="171"/>
    </row>
    <row r="218" spans="13:13" ht="20.100000000000001" customHeight="1" x14ac:dyDescent="0.3">
      <c r="M218" s="171"/>
    </row>
    <row r="219" spans="13:13" ht="20.100000000000001" customHeight="1" x14ac:dyDescent="0.3">
      <c r="M219" s="171"/>
    </row>
    <row r="220" spans="13:13" ht="20.100000000000001" customHeight="1" x14ac:dyDescent="0.3">
      <c r="M220" s="171"/>
    </row>
    <row r="221" spans="13:13" ht="20.100000000000001" customHeight="1" x14ac:dyDescent="0.3">
      <c r="M221" s="171"/>
    </row>
    <row r="222" spans="13:13" ht="20.100000000000001" customHeight="1" x14ac:dyDescent="0.3">
      <c r="M222" s="171"/>
    </row>
    <row r="223" spans="13:13" ht="20.100000000000001" customHeight="1" x14ac:dyDescent="0.3">
      <c r="M223" s="171"/>
    </row>
    <row r="224" spans="13:13" ht="20.100000000000001" customHeight="1" x14ac:dyDescent="0.3">
      <c r="M224" s="171"/>
    </row>
    <row r="225" spans="13:13" ht="20.100000000000001" customHeight="1" x14ac:dyDescent="0.3">
      <c r="M225" s="171"/>
    </row>
    <row r="226" spans="13:13" ht="20.100000000000001" customHeight="1" x14ac:dyDescent="0.3">
      <c r="M226" s="171"/>
    </row>
    <row r="227" spans="13:13" ht="20.100000000000001" customHeight="1" x14ac:dyDescent="0.3">
      <c r="M227" s="171"/>
    </row>
    <row r="228" spans="13:13" ht="20.100000000000001" customHeight="1" x14ac:dyDescent="0.3">
      <c r="M228" s="171"/>
    </row>
    <row r="229" spans="13:13" ht="20.100000000000001" customHeight="1" x14ac:dyDescent="0.3">
      <c r="M229" s="171"/>
    </row>
    <row r="230" spans="13:13" ht="20.100000000000001" customHeight="1" x14ac:dyDescent="0.3">
      <c r="M230" s="171"/>
    </row>
    <row r="231" spans="13:13" ht="20.100000000000001" customHeight="1" x14ac:dyDescent="0.3">
      <c r="M231" s="171"/>
    </row>
    <row r="232" spans="13:13" ht="20.100000000000001" customHeight="1" x14ac:dyDescent="0.3">
      <c r="M232" s="171"/>
    </row>
    <row r="233" spans="13:13" ht="20.100000000000001" customHeight="1" x14ac:dyDescent="0.3">
      <c r="M233" s="171"/>
    </row>
    <row r="234" spans="13:13" ht="20.100000000000001" customHeight="1" x14ac:dyDescent="0.3">
      <c r="M234" s="171"/>
    </row>
    <row r="235" spans="13:13" ht="20.100000000000001" customHeight="1" x14ac:dyDescent="0.3">
      <c r="M235" s="171"/>
    </row>
    <row r="236" spans="13:13" ht="20.100000000000001" customHeight="1" x14ac:dyDescent="0.3">
      <c r="M236" s="171"/>
    </row>
    <row r="237" spans="13:13" ht="20.100000000000001" customHeight="1" x14ac:dyDescent="0.3">
      <c r="M237" s="171"/>
    </row>
    <row r="238" spans="13:13" ht="20.100000000000001" customHeight="1" x14ac:dyDescent="0.3">
      <c r="M238" s="171"/>
    </row>
    <row r="239" spans="13:13" ht="20.100000000000001" customHeight="1" x14ac:dyDescent="0.3">
      <c r="M239" s="171"/>
    </row>
    <row r="240" spans="13:13" ht="20.100000000000001" customHeight="1" x14ac:dyDescent="0.3">
      <c r="M240" s="171"/>
    </row>
    <row r="241" spans="13:13" ht="20.100000000000001" customHeight="1" x14ac:dyDescent="0.3">
      <c r="M241" s="171"/>
    </row>
    <row r="242" spans="13:13" ht="20.100000000000001" customHeight="1" x14ac:dyDescent="0.3">
      <c r="M242" s="171"/>
    </row>
    <row r="243" spans="13:13" ht="20.100000000000001" customHeight="1" x14ac:dyDescent="0.3">
      <c r="M243" s="171"/>
    </row>
    <row r="244" spans="13:13" ht="20.100000000000001" customHeight="1" x14ac:dyDescent="0.3">
      <c r="M244" s="171"/>
    </row>
    <row r="245" spans="13:13" ht="20.100000000000001" customHeight="1" x14ac:dyDescent="0.3">
      <c r="M245" s="171"/>
    </row>
    <row r="246" spans="13:13" ht="20.100000000000001" customHeight="1" x14ac:dyDescent="0.3">
      <c r="M246" s="171"/>
    </row>
    <row r="247" spans="13:13" ht="20.100000000000001" customHeight="1" x14ac:dyDescent="0.3">
      <c r="M247" s="171"/>
    </row>
    <row r="248" spans="13:13" ht="20.100000000000001" customHeight="1" x14ac:dyDescent="0.3">
      <c r="M248" s="171"/>
    </row>
    <row r="249" spans="13:13" ht="20.100000000000001" customHeight="1" x14ac:dyDescent="0.3">
      <c r="M249" s="171"/>
    </row>
    <row r="250" spans="13:13" ht="20.100000000000001" customHeight="1" x14ac:dyDescent="0.3">
      <c r="M250" s="171"/>
    </row>
    <row r="251" spans="13:13" ht="20.100000000000001" customHeight="1" x14ac:dyDescent="0.3">
      <c r="M251" s="171"/>
    </row>
    <row r="252" spans="13:13" ht="20.100000000000001" customHeight="1" x14ac:dyDescent="0.3">
      <c r="M252" s="171"/>
    </row>
    <row r="253" spans="13:13" ht="20.100000000000001" customHeight="1" x14ac:dyDescent="0.3">
      <c r="M253" s="171"/>
    </row>
    <row r="254" spans="13:13" ht="20.100000000000001" customHeight="1" x14ac:dyDescent="0.3">
      <c r="M254" s="171"/>
    </row>
    <row r="255" spans="13:13" ht="20.100000000000001" customHeight="1" x14ac:dyDescent="0.3">
      <c r="M255" s="171"/>
    </row>
    <row r="256" spans="13:13" ht="20.100000000000001" customHeight="1" x14ac:dyDescent="0.3">
      <c r="M256" s="171"/>
    </row>
    <row r="257" spans="13:13" ht="20.100000000000001" customHeight="1" x14ac:dyDescent="0.3">
      <c r="M257" s="171"/>
    </row>
    <row r="258" spans="13:13" ht="20.100000000000001" customHeight="1" x14ac:dyDescent="0.3">
      <c r="M258" s="171"/>
    </row>
    <row r="259" spans="13:13" ht="20.100000000000001" customHeight="1" x14ac:dyDescent="0.3">
      <c r="M259" s="171"/>
    </row>
    <row r="260" spans="13:13" ht="20.100000000000001" customHeight="1" x14ac:dyDescent="0.3">
      <c r="M260" s="171"/>
    </row>
    <row r="261" spans="13:13" ht="20.100000000000001" customHeight="1" x14ac:dyDescent="0.3">
      <c r="M261" s="171"/>
    </row>
    <row r="262" spans="13:13" ht="20.100000000000001" customHeight="1" x14ac:dyDescent="0.3">
      <c r="M262" s="171"/>
    </row>
    <row r="263" spans="13:13" ht="20.100000000000001" customHeight="1" x14ac:dyDescent="0.3">
      <c r="M263" s="171"/>
    </row>
    <row r="264" spans="13:13" ht="20.100000000000001" customHeight="1" x14ac:dyDescent="0.3">
      <c r="M264" s="171"/>
    </row>
    <row r="265" spans="13:13" ht="20.100000000000001" customHeight="1" x14ac:dyDescent="0.3">
      <c r="M265" s="171"/>
    </row>
    <row r="266" spans="13:13" ht="20.100000000000001" customHeight="1" x14ac:dyDescent="0.3">
      <c r="M266" s="171"/>
    </row>
    <row r="267" spans="13:13" ht="20.100000000000001" customHeight="1" x14ac:dyDescent="0.3">
      <c r="M267" s="171"/>
    </row>
    <row r="268" spans="13:13" ht="20.100000000000001" customHeight="1" x14ac:dyDescent="0.3">
      <c r="M268" s="171"/>
    </row>
    <row r="269" spans="13:13" ht="20.100000000000001" customHeight="1" x14ac:dyDescent="0.3">
      <c r="M269" s="171"/>
    </row>
    <row r="270" spans="13:13" ht="20.100000000000001" customHeight="1" x14ac:dyDescent="0.3">
      <c r="M270" s="171"/>
    </row>
    <row r="271" spans="13:13" ht="20.100000000000001" customHeight="1" x14ac:dyDescent="0.3">
      <c r="M271" s="171"/>
    </row>
    <row r="272" spans="13:13" ht="20.100000000000001" customHeight="1" x14ac:dyDescent="0.3">
      <c r="M272" s="171"/>
    </row>
    <row r="273" spans="13:13" ht="20.100000000000001" customHeight="1" x14ac:dyDescent="0.3">
      <c r="M273" s="171"/>
    </row>
    <row r="274" spans="13:13" ht="20.100000000000001" customHeight="1" x14ac:dyDescent="0.3">
      <c r="M274" s="171"/>
    </row>
    <row r="275" spans="13:13" ht="20.100000000000001" customHeight="1" x14ac:dyDescent="0.3">
      <c r="M275" s="171"/>
    </row>
    <row r="276" spans="13:13" ht="20.100000000000001" customHeight="1" x14ac:dyDescent="0.3">
      <c r="M276" s="171"/>
    </row>
    <row r="277" spans="13:13" ht="20.100000000000001" customHeight="1" x14ac:dyDescent="0.3">
      <c r="M277" s="171"/>
    </row>
    <row r="278" spans="13:13" ht="20.100000000000001" customHeight="1" x14ac:dyDescent="0.3">
      <c r="M278" s="171"/>
    </row>
    <row r="279" spans="13:13" ht="20.100000000000001" customHeight="1" x14ac:dyDescent="0.3">
      <c r="M279" s="171"/>
    </row>
    <row r="280" spans="13:13" ht="20.100000000000001" customHeight="1" x14ac:dyDescent="0.3">
      <c r="M280" s="171"/>
    </row>
    <row r="281" spans="13:13" ht="20.100000000000001" customHeight="1" x14ac:dyDescent="0.3">
      <c r="M281" s="171"/>
    </row>
    <row r="282" spans="13:13" ht="20.100000000000001" customHeight="1" x14ac:dyDescent="0.3">
      <c r="M282" s="171"/>
    </row>
    <row r="283" spans="13:13" ht="20.100000000000001" customHeight="1" x14ac:dyDescent="0.3">
      <c r="M283" s="171"/>
    </row>
    <row r="284" spans="13:13" ht="20.100000000000001" customHeight="1" x14ac:dyDescent="0.3">
      <c r="M284" s="171"/>
    </row>
    <row r="285" spans="13:13" ht="20.100000000000001" customHeight="1" x14ac:dyDescent="0.3">
      <c r="M285" s="171"/>
    </row>
    <row r="286" spans="13:13" ht="20.100000000000001" customHeight="1" x14ac:dyDescent="0.3">
      <c r="M286" s="171"/>
    </row>
    <row r="287" spans="13:13" ht="20.100000000000001" customHeight="1" x14ac:dyDescent="0.3">
      <c r="M287" s="171"/>
    </row>
    <row r="288" spans="13:13" ht="20.100000000000001" customHeight="1" x14ac:dyDescent="0.3">
      <c r="M288" s="171"/>
    </row>
    <row r="289" spans="13:13" ht="20.100000000000001" customHeight="1" x14ac:dyDescent="0.3">
      <c r="M289" s="171"/>
    </row>
    <row r="290" spans="13:13" ht="20.100000000000001" customHeight="1" x14ac:dyDescent="0.3">
      <c r="M290" s="171"/>
    </row>
    <row r="291" spans="13:13" ht="20.100000000000001" customHeight="1" x14ac:dyDescent="0.3">
      <c r="M291" s="171"/>
    </row>
    <row r="292" spans="13:13" ht="20.100000000000001" customHeight="1" x14ac:dyDescent="0.3">
      <c r="M292" s="171"/>
    </row>
    <row r="293" spans="13:13" ht="20.100000000000001" customHeight="1" x14ac:dyDescent="0.3">
      <c r="M293" s="171"/>
    </row>
    <row r="294" spans="13:13" ht="20.100000000000001" customHeight="1" x14ac:dyDescent="0.3">
      <c r="M294" s="171"/>
    </row>
    <row r="295" spans="13:13" ht="20.100000000000001" customHeight="1" x14ac:dyDescent="0.3">
      <c r="M295" s="171"/>
    </row>
    <row r="296" spans="13:13" ht="20.100000000000001" customHeight="1" x14ac:dyDescent="0.3">
      <c r="M296" s="171"/>
    </row>
    <row r="297" spans="13:13" ht="20.100000000000001" customHeight="1" x14ac:dyDescent="0.3">
      <c r="M297" s="171"/>
    </row>
    <row r="298" spans="13:13" ht="20.100000000000001" customHeight="1" x14ac:dyDescent="0.3">
      <c r="M298" s="171"/>
    </row>
    <row r="299" spans="13:13" ht="20.100000000000001" customHeight="1" x14ac:dyDescent="0.3">
      <c r="M299" s="171"/>
    </row>
    <row r="300" spans="13:13" ht="20.100000000000001" customHeight="1" x14ac:dyDescent="0.3">
      <c r="M300" s="171"/>
    </row>
    <row r="301" spans="13:13" ht="20.100000000000001" customHeight="1" x14ac:dyDescent="0.3">
      <c r="M301" s="171"/>
    </row>
    <row r="302" spans="13:13" ht="20.100000000000001" customHeight="1" x14ac:dyDescent="0.3">
      <c r="M302" s="171"/>
    </row>
    <row r="303" spans="13:13" ht="20.100000000000001" customHeight="1" x14ac:dyDescent="0.3">
      <c r="M303" s="171"/>
    </row>
    <row r="304" spans="13:13" ht="20.100000000000001" customHeight="1" x14ac:dyDescent="0.3">
      <c r="M304" s="171"/>
    </row>
    <row r="305" spans="13:13" ht="20.100000000000001" customHeight="1" x14ac:dyDescent="0.3">
      <c r="M305" s="171"/>
    </row>
    <row r="306" spans="13:13" ht="20.100000000000001" customHeight="1" x14ac:dyDescent="0.3">
      <c r="M306" s="171"/>
    </row>
    <row r="307" spans="13:13" ht="20.100000000000001" customHeight="1" x14ac:dyDescent="0.3">
      <c r="M307" s="171"/>
    </row>
    <row r="308" spans="13:13" ht="20.100000000000001" customHeight="1" x14ac:dyDescent="0.3">
      <c r="M308" s="171"/>
    </row>
    <row r="309" spans="13:13" ht="20.100000000000001" customHeight="1" x14ac:dyDescent="0.3">
      <c r="M309" s="171"/>
    </row>
    <row r="310" spans="13:13" ht="20.100000000000001" customHeight="1" x14ac:dyDescent="0.3">
      <c r="M310" s="171"/>
    </row>
    <row r="311" spans="13:13" ht="20.100000000000001" customHeight="1" x14ac:dyDescent="0.3">
      <c r="M311" s="171"/>
    </row>
    <row r="312" spans="13:13" ht="20.100000000000001" customHeight="1" x14ac:dyDescent="0.3">
      <c r="M312" s="171"/>
    </row>
    <row r="313" spans="13:13" ht="20.100000000000001" customHeight="1" x14ac:dyDescent="0.3">
      <c r="M313" s="171"/>
    </row>
    <row r="314" spans="13:13" ht="20.100000000000001" customHeight="1" x14ac:dyDescent="0.3">
      <c r="M314" s="171"/>
    </row>
    <row r="315" spans="13:13" ht="20.100000000000001" customHeight="1" x14ac:dyDescent="0.3">
      <c r="M315" s="171"/>
    </row>
    <row r="316" spans="13:13" ht="20.100000000000001" customHeight="1" x14ac:dyDescent="0.3">
      <c r="M316" s="171"/>
    </row>
    <row r="317" spans="13:13" ht="20.100000000000001" customHeight="1" x14ac:dyDescent="0.3">
      <c r="M317" s="171"/>
    </row>
    <row r="318" spans="13:13" ht="20.100000000000001" customHeight="1" x14ac:dyDescent="0.3">
      <c r="M318" s="171"/>
    </row>
    <row r="319" spans="13:13" ht="20.100000000000001" customHeight="1" x14ac:dyDescent="0.3">
      <c r="M319" s="171"/>
    </row>
    <row r="320" spans="13:13" ht="20.100000000000001" customHeight="1" x14ac:dyDescent="0.3">
      <c r="M320" s="171"/>
    </row>
    <row r="321" spans="13:13" ht="20.100000000000001" customHeight="1" x14ac:dyDescent="0.3">
      <c r="M321" s="171"/>
    </row>
    <row r="322" spans="13:13" ht="20.100000000000001" customHeight="1" x14ac:dyDescent="0.3">
      <c r="M322" s="171"/>
    </row>
    <row r="323" spans="13:13" ht="20.100000000000001" customHeight="1" x14ac:dyDescent="0.3">
      <c r="M323" s="171"/>
    </row>
    <row r="324" spans="13:13" ht="20.100000000000001" customHeight="1" x14ac:dyDescent="0.3">
      <c r="M324" s="171"/>
    </row>
    <row r="325" spans="13:13" ht="20.100000000000001" customHeight="1" x14ac:dyDescent="0.3">
      <c r="M325" s="171"/>
    </row>
    <row r="326" spans="13:13" ht="20.100000000000001" customHeight="1" x14ac:dyDescent="0.3">
      <c r="M326" s="171"/>
    </row>
    <row r="327" spans="13:13" ht="20.100000000000001" customHeight="1" x14ac:dyDescent="0.3">
      <c r="M327" s="171"/>
    </row>
    <row r="328" spans="13:13" ht="20.100000000000001" customHeight="1" x14ac:dyDescent="0.3">
      <c r="M328" s="171"/>
    </row>
    <row r="329" spans="13:13" ht="20.100000000000001" customHeight="1" x14ac:dyDescent="0.3">
      <c r="M329" s="171"/>
    </row>
    <row r="330" spans="13:13" ht="20.100000000000001" customHeight="1" x14ac:dyDescent="0.3">
      <c r="M330" s="171"/>
    </row>
    <row r="331" spans="13:13" ht="20.100000000000001" customHeight="1" x14ac:dyDescent="0.3">
      <c r="M331" s="171"/>
    </row>
    <row r="332" spans="13:13" ht="20.100000000000001" customHeight="1" x14ac:dyDescent="0.3">
      <c r="M332" s="171"/>
    </row>
    <row r="333" spans="13:13" ht="20.100000000000001" customHeight="1" x14ac:dyDescent="0.3">
      <c r="M333" s="171"/>
    </row>
    <row r="334" spans="13:13" ht="20.100000000000001" customHeight="1" x14ac:dyDescent="0.3">
      <c r="M334" s="171"/>
    </row>
    <row r="335" spans="13:13" ht="20.100000000000001" customHeight="1" x14ac:dyDescent="0.3">
      <c r="M335" s="171"/>
    </row>
    <row r="336" spans="13:13" ht="20.100000000000001" customHeight="1" x14ac:dyDescent="0.3">
      <c r="M336" s="171"/>
    </row>
    <row r="337" spans="13:13" ht="20.100000000000001" customHeight="1" x14ac:dyDescent="0.3">
      <c r="M337" s="171"/>
    </row>
    <row r="338" spans="13:13" ht="20.100000000000001" customHeight="1" x14ac:dyDescent="0.3">
      <c r="M338" s="171"/>
    </row>
    <row r="339" spans="13:13" ht="20.100000000000001" customHeight="1" x14ac:dyDescent="0.3">
      <c r="M339" s="171"/>
    </row>
    <row r="340" spans="13:13" ht="20.100000000000001" customHeight="1" x14ac:dyDescent="0.3">
      <c r="M340" s="171"/>
    </row>
    <row r="341" spans="13:13" ht="20.100000000000001" customHeight="1" x14ac:dyDescent="0.3">
      <c r="M341" s="171"/>
    </row>
    <row r="342" spans="13:13" ht="20.100000000000001" customHeight="1" x14ac:dyDescent="0.3">
      <c r="M342" s="171"/>
    </row>
    <row r="343" spans="13:13" ht="20.100000000000001" customHeight="1" x14ac:dyDescent="0.3">
      <c r="M343" s="171"/>
    </row>
    <row r="344" spans="13:13" ht="20.100000000000001" customHeight="1" x14ac:dyDescent="0.3">
      <c r="M344" s="171"/>
    </row>
    <row r="345" spans="13:13" ht="20.100000000000001" customHeight="1" x14ac:dyDescent="0.3">
      <c r="M345" s="171"/>
    </row>
    <row r="346" spans="13:13" ht="20.100000000000001" customHeight="1" x14ac:dyDescent="0.3">
      <c r="M346" s="171"/>
    </row>
    <row r="347" spans="13:13" ht="20.100000000000001" customHeight="1" x14ac:dyDescent="0.3">
      <c r="M347" s="171"/>
    </row>
    <row r="348" spans="13:13" ht="20.100000000000001" customHeight="1" x14ac:dyDescent="0.3">
      <c r="M348" s="171"/>
    </row>
    <row r="349" spans="13:13" ht="20.100000000000001" customHeight="1" x14ac:dyDescent="0.3">
      <c r="M349" s="171"/>
    </row>
    <row r="350" spans="13:13" ht="20.100000000000001" customHeight="1" x14ac:dyDescent="0.3">
      <c r="M350" s="171"/>
    </row>
    <row r="351" spans="13:13" ht="20.100000000000001" customHeight="1" x14ac:dyDescent="0.3">
      <c r="M351" s="171"/>
    </row>
    <row r="352" spans="13:13" ht="20.100000000000001" customHeight="1" x14ac:dyDescent="0.3">
      <c r="M352" s="171"/>
    </row>
    <row r="353" spans="13:13" ht="20.100000000000001" customHeight="1" x14ac:dyDescent="0.3">
      <c r="M353" s="171"/>
    </row>
    <row r="354" spans="13:13" ht="20.100000000000001" customHeight="1" x14ac:dyDescent="0.3">
      <c r="M354" s="171"/>
    </row>
    <row r="355" spans="13:13" ht="20.100000000000001" customHeight="1" x14ac:dyDescent="0.3">
      <c r="M355" s="171"/>
    </row>
    <row r="356" spans="13:13" ht="20.100000000000001" customHeight="1" x14ac:dyDescent="0.3">
      <c r="M356" s="171"/>
    </row>
    <row r="357" spans="13:13" ht="20.100000000000001" customHeight="1" x14ac:dyDescent="0.3">
      <c r="M357" s="171"/>
    </row>
    <row r="358" spans="13:13" ht="20.100000000000001" customHeight="1" x14ac:dyDescent="0.3">
      <c r="M358" s="171"/>
    </row>
    <row r="359" spans="13:13" ht="20.100000000000001" customHeight="1" x14ac:dyDescent="0.3">
      <c r="M359" s="171"/>
    </row>
    <row r="360" spans="13:13" ht="20.100000000000001" customHeight="1" x14ac:dyDescent="0.3">
      <c r="M360" s="171"/>
    </row>
    <row r="361" spans="13:13" ht="20.100000000000001" customHeight="1" x14ac:dyDescent="0.3">
      <c r="M361" s="171"/>
    </row>
    <row r="362" spans="13:13" ht="20.100000000000001" customHeight="1" x14ac:dyDescent="0.3">
      <c r="M362" s="171"/>
    </row>
    <row r="363" spans="13:13" ht="20.100000000000001" customHeight="1" x14ac:dyDescent="0.3">
      <c r="M363" s="171"/>
    </row>
    <row r="364" spans="13:13" ht="20.100000000000001" customHeight="1" x14ac:dyDescent="0.3">
      <c r="M364" s="171"/>
    </row>
    <row r="365" spans="13:13" ht="20.100000000000001" customHeight="1" x14ac:dyDescent="0.3">
      <c r="M365" s="171"/>
    </row>
    <row r="366" spans="13:13" ht="20.100000000000001" customHeight="1" x14ac:dyDescent="0.3">
      <c r="M366" s="171"/>
    </row>
    <row r="367" spans="13:13" ht="20.100000000000001" customHeight="1" x14ac:dyDescent="0.3">
      <c r="M367" s="171"/>
    </row>
    <row r="368" spans="13:13" ht="20.100000000000001" customHeight="1" x14ac:dyDescent="0.3">
      <c r="M368" s="171"/>
    </row>
    <row r="369" spans="13:13" ht="20.100000000000001" customHeight="1" x14ac:dyDescent="0.3">
      <c r="M369" s="171"/>
    </row>
    <row r="370" spans="13:13" ht="20.100000000000001" customHeight="1" x14ac:dyDescent="0.3">
      <c r="M370" s="171"/>
    </row>
    <row r="371" spans="13:13" ht="20.100000000000001" customHeight="1" x14ac:dyDescent="0.3">
      <c r="M371" s="171"/>
    </row>
    <row r="372" spans="13:13" ht="20.100000000000001" customHeight="1" x14ac:dyDescent="0.3">
      <c r="M372" s="171"/>
    </row>
    <row r="373" spans="13:13" ht="20.100000000000001" customHeight="1" x14ac:dyDescent="0.3">
      <c r="M373" s="171"/>
    </row>
    <row r="374" spans="13:13" ht="20.100000000000001" customHeight="1" x14ac:dyDescent="0.3">
      <c r="M374" s="171"/>
    </row>
  </sheetData>
  <sheetProtection algorithmName="SHA-512" hashValue="wNkJq3zDxewhn++pkuXZXOpM7FW+oM6CBWtXMAzeKdSInEu1q4CiSVYdvAukstLwWxm6pE6NUe6m4u8ldL9u9w==" saltValue="Ysv95V6MpTMRDPWYFX7noQ==" spinCount="100000" sheet="1" objects="1" scenarios="1"/>
  <mergeCells count="12">
    <mergeCell ref="H1:J1"/>
    <mergeCell ref="A17:G17"/>
    <mergeCell ref="D61:G61"/>
    <mergeCell ref="D58:G58"/>
    <mergeCell ref="A31:G31"/>
    <mergeCell ref="A1:G1"/>
    <mergeCell ref="A2:G2"/>
    <mergeCell ref="A5:G5"/>
    <mergeCell ref="A6:C6"/>
    <mergeCell ref="E6:G6"/>
    <mergeCell ref="A3:G3"/>
    <mergeCell ref="A4:G4"/>
  </mergeCells>
  <phoneticPr fontId="1" type="noConversion"/>
  <pageMargins left="0.19685039370078741" right="0.19685039370078741" top="0.74803149606299213" bottom="0.74803149606299213" header="0.31496062992125984" footer="0.31496062992125984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189" r:id="rId4">
          <objectPr defaultSize="0" autoPict="0" r:id="rId5">
            <anchor moveWithCells="1">
              <from>
                <xdr:col>0</xdr:col>
                <xdr:colOff>47625</xdr:colOff>
                <xdr:row>42</xdr:row>
                <xdr:rowOff>38100</xdr:rowOff>
              </from>
              <to>
                <xdr:col>3</xdr:col>
                <xdr:colOff>38100</xdr:colOff>
                <xdr:row>54</xdr:row>
                <xdr:rowOff>200025</xdr:rowOff>
              </to>
            </anchor>
          </objectPr>
        </oleObject>
      </mc:Choice>
      <mc:Fallback>
        <oleObject progId="Visio.Drawing.11" shapeId="1189" r:id="rId4"/>
      </mc:Fallback>
    </mc:AlternateContent>
    <mc:AlternateContent xmlns:mc="http://schemas.openxmlformats.org/markup-compatibility/2006">
      <mc:Choice Requires="x14">
        <oleObject progId="Visio.Drawing.11" shapeId="1192" r:id="rId6">
          <objectPr defaultSize="0" autoPict="0" r:id="rId7">
            <anchor moveWithCells="1">
              <from>
                <xdr:col>3</xdr:col>
                <xdr:colOff>114300</xdr:colOff>
                <xdr:row>42</xdr:row>
                <xdr:rowOff>38100</xdr:rowOff>
              </from>
              <to>
                <xdr:col>6</xdr:col>
                <xdr:colOff>504825</xdr:colOff>
                <xdr:row>54</xdr:row>
                <xdr:rowOff>200025</xdr:rowOff>
              </to>
            </anchor>
          </objectPr>
        </oleObject>
      </mc:Choice>
      <mc:Fallback>
        <oleObject progId="Visio.Drawing.11" shapeId="119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indowProtection="1" workbookViewId="0">
      <pane ySplit="1" topLeftCell="A2" activePane="bottomLeft" state="frozen"/>
      <selection activeCell="D31" sqref="D31"/>
      <selection pane="bottomLeft" activeCell="G14" sqref="G14"/>
    </sheetView>
  </sheetViews>
  <sheetFormatPr defaultColWidth="9" defaultRowHeight="13.5" x14ac:dyDescent="0.15"/>
  <cols>
    <col min="1" max="1" width="8.75" style="72" customWidth="1"/>
    <col min="2" max="2" width="9" style="72"/>
    <col min="3" max="3" width="9.75" style="73" customWidth="1"/>
    <col min="4" max="4" width="9" style="72"/>
    <col min="5" max="5" width="9.5" style="72" customWidth="1"/>
    <col min="6" max="12" width="9" style="72"/>
    <col min="13" max="13" width="7.875" style="72" customWidth="1"/>
    <col min="14" max="16384" width="9" style="72"/>
  </cols>
  <sheetData>
    <row r="1" spans="1:12" ht="18.75" x14ac:dyDescent="0.25">
      <c r="A1" s="87" t="s">
        <v>169</v>
      </c>
      <c r="B1" s="86"/>
      <c r="C1" s="85"/>
      <c r="D1" s="84"/>
      <c r="E1" s="84"/>
      <c r="F1" s="84"/>
      <c r="G1" s="84"/>
      <c r="H1" s="84"/>
      <c r="I1" s="84"/>
      <c r="J1" s="84"/>
      <c r="K1" s="84"/>
      <c r="L1" s="84"/>
    </row>
    <row r="2" spans="1:12" ht="14.25" thickBot="1" x14ac:dyDescent="0.2"/>
    <row r="3" spans="1:12" s="73" customFormat="1" x14ac:dyDescent="0.15">
      <c r="A3" s="210" t="s">
        <v>168</v>
      </c>
      <c r="B3" s="211"/>
      <c r="C3" s="208" t="s">
        <v>168</v>
      </c>
      <c r="D3" s="209"/>
      <c r="E3" s="210" t="s">
        <v>168</v>
      </c>
      <c r="F3" s="211"/>
      <c r="G3" s="208" t="s">
        <v>168</v>
      </c>
      <c r="H3" s="209"/>
      <c r="I3" s="210" t="s">
        <v>168</v>
      </c>
      <c r="J3" s="211"/>
      <c r="K3" s="208" t="s">
        <v>168</v>
      </c>
      <c r="L3" s="209"/>
    </row>
    <row r="4" spans="1:12" s="73" customFormat="1" ht="15.75" x14ac:dyDescent="0.15">
      <c r="A4" s="83" t="s">
        <v>129</v>
      </c>
      <c r="B4" s="82" t="s">
        <v>128</v>
      </c>
      <c r="C4" s="81" t="s">
        <v>129</v>
      </c>
      <c r="D4" s="80" t="s">
        <v>128</v>
      </c>
      <c r="E4" s="83" t="s">
        <v>129</v>
      </c>
      <c r="F4" s="82" t="s">
        <v>128</v>
      </c>
      <c r="G4" s="81" t="s">
        <v>129</v>
      </c>
      <c r="H4" s="80" t="s">
        <v>128</v>
      </c>
      <c r="I4" s="83" t="s">
        <v>129</v>
      </c>
      <c r="J4" s="82" t="s">
        <v>128</v>
      </c>
      <c r="K4" s="81" t="s">
        <v>129</v>
      </c>
      <c r="L4" s="80" t="s">
        <v>128</v>
      </c>
    </row>
    <row r="5" spans="1:12" s="73" customFormat="1" x14ac:dyDescent="0.15">
      <c r="A5" s="83" t="s">
        <v>167</v>
      </c>
      <c r="B5" s="82" t="s">
        <v>166</v>
      </c>
      <c r="C5" s="81" t="s">
        <v>125</v>
      </c>
      <c r="D5" s="80" t="s">
        <v>124</v>
      </c>
      <c r="E5" s="83"/>
      <c r="F5" s="82"/>
      <c r="G5" s="81"/>
      <c r="H5" s="80"/>
      <c r="I5" s="83"/>
      <c r="J5" s="82"/>
      <c r="K5" s="81"/>
      <c r="L5" s="80"/>
    </row>
    <row r="6" spans="1:12" s="73" customFormat="1" x14ac:dyDescent="0.15">
      <c r="A6" s="83" t="s">
        <v>167</v>
      </c>
      <c r="B6" s="82" t="s">
        <v>166</v>
      </c>
      <c r="C6" s="81" t="s">
        <v>165</v>
      </c>
      <c r="D6" s="80" t="s">
        <v>164</v>
      </c>
      <c r="E6" s="83"/>
      <c r="F6" s="82"/>
      <c r="G6" s="81"/>
      <c r="H6" s="80"/>
      <c r="I6" s="83"/>
      <c r="J6" s="82"/>
      <c r="K6" s="81"/>
      <c r="L6" s="80"/>
    </row>
    <row r="7" spans="1:12" s="73" customFormat="1" x14ac:dyDescent="0.15">
      <c r="A7" s="83" t="s">
        <v>117</v>
      </c>
      <c r="B7" s="82" t="s">
        <v>116</v>
      </c>
      <c r="C7" s="81" t="s">
        <v>163</v>
      </c>
      <c r="D7" s="80" t="s">
        <v>162</v>
      </c>
      <c r="E7" s="83" t="s">
        <v>93</v>
      </c>
      <c r="F7" s="82" t="s">
        <v>92</v>
      </c>
      <c r="G7" s="81"/>
      <c r="H7" s="80"/>
      <c r="I7" s="83"/>
      <c r="J7" s="82"/>
      <c r="K7" s="81"/>
      <c r="L7" s="80"/>
    </row>
    <row r="8" spans="1:12" s="73" customFormat="1" x14ac:dyDescent="0.15">
      <c r="A8" s="83" t="s">
        <v>117</v>
      </c>
      <c r="B8" s="82" t="s">
        <v>116</v>
      </c>
      <c r="C8" s="81" t="s">
        <v>163</v>
      </c>
      <c r="D8" s="80" t="s">
        <v>162</v>
      </c>
      <c r="E8" s="83" t="s">
        <v>93</v>
      </c>
      <c r="F8" s="82" t="s">
        <v>92</v>
      </c>
      <c r="G8" s="81"/>
      <c r="H8" s="80"/>
      <c r="I8" s="83"/>
      <c r="J8" s="82"/>
      <c r="K8" s="81"/>
      <c r="L8" s="80"/>
    </row>
    <row r="9" spans="1:12" s="73" customFormat="1" x14ac:dyDescent="0.15">
      <c r="A9" s="83" t="s">
        <v>113</v>
      </c>
      <c r="B9" s="82" t="s">
        <v>112</v>
      </c>
      <c r="C9" s="81" t="s">
        <v>121</v>
      </c>
      <c r="D9" s="80" t="s">
        <v>120</v>
      </c>
      <c r="E9" s="83" t="s">
        <v>93</v>
      </c>
      <c r="F9" s="82" t="s">
        <v>92</v>
      </c>
      <c r="G9" s="81"/>
      <c r="H9" s="80"/>
      <c r="I9" s="83"/>
      <c r="J9" s="82"/>
      <c r="K9" s="81"/>
      <c r="L9" s="80"/>
    </row>
    <row r="10" spans="1:12" s="73" customFormat="1" x14ac:dyDescent="0.15">
      <c r="A10" s="83" t="s">
        <v>113</v>
      </c>
      <c r="B10" s="82" t="s">
        <v>112</v>
      </c>
      <c r="C10" s="81" t="s">
        <v>121</v>
      </c>
      <c r="D10" s="80" t="s">
        <v>120</v>
      </c>
      <c r="E10" s="83" t="s">
        <v>89</v>
      </c>
      <c r="F10" s="82" t="s">
        <v>88</v>
      </c>
      <c r="G10" s="81"/>
      <c r="H10" s="80"/>
      <c r="I10" s="83"/>
      <c r="J10" s="82"/>
      <c r="K10" s="81"/>
      <c r="L10" s="80"/>
    </row>
    <row r="11" spans="1:12" s="73" customFormat="1" x14ac:dyDescent="0.15">
      <c r="A11" s="83" t="s">
        <v>113</v>
      </c>
      <c r="B11" s="82" t="s">
        <v>112</v>
      </c>
      <c r="C11" s="81" t="s">
        <v>121</v>
      </c>
      <c r="D11" s="80" t="s">
        <v>120</v>
      </c>
      <c r="E11" s="83" t="s">
        <v>89</v>
      </c>
      <c r="F11" s="82" t="s">
        <v>88</v>
      </c>
      <c r="G11" s="81"/>
      <c r="H11" s="80"/>
      <c r="I11" s="83"/>
      <c r="J11" s="82"/>
      <c r="K11" s="81"/>
      <c r="L11" s="80"/>
    </row>
    <row r="12" spans="1:12" s="73" customFormat="1" x14ac:dyDescent="0.15">
      <c r="A12" s="83" t="s">
        <v>158</v>
      </c>
      <c r="B12" s="82" t="s">
        <v>160</v>
      </c>
      <c r="C12" s="81" t="s">
        <v>161</v>
      </c>
      <c r="D12" s="80" t="s">
        <v>160</v>
      </c>
      <c r="E12" s="83" t="s">
        <v>101</v>
      </c>
      <c r="F12" s="82" t="s">
        <v>100</v>
      </c>
      <c r="G12" s="81" t="s">
        <v>81</v>
      </c>
      <c r="H12" s="80" t="s">
        <v>159</v>
      </c>
      <c r="I12" s="83" t="s">
        <v>85</v>
      </c>
      <c r="J12" s="82" t="s">
        <v>84</v>
      </c>
      <c r="K12" s="81"/>
      <c r="L12" s="80"/>
    </row>
    <row r="13" spans="1:12" s="73" customFormat="1" x14ac:dyDescent="0.15">
      <c r="A13" s="83" t="s">
        <v>158</v>
      </c>
      <c r="B13" s="82" t="s">
        <v>156</v>
      </c>
      <c r="C13" s="81" t="s">
        <v>157</v>
      </c>
      <c r="D13" s="80" t="s">
        <v>156</v>
      </c>
      <c r="E13" s="83" t="s">
        <v>151</v>
      </c>
      <c r="F13" s="82" t="s">
        <v>150</v>
      </c>
      <c r="G13" s="81" t="s">
        <v>149</v>
      </c>
      <c r="H13" s="80" t="s">
        <v>142</v>
      </c>
      <c r="I13" s="83" t="s">
        <v>155</v>
      </c>
      <c r="J13" s="82" t="s">
        <v>154</v>
      </c>
      <c r="K13" s="81"/>
      <c r="L13" s="80"/>
    </row>
    <row r="14" spans="1:12" s="73" customFormat="1" x14ac:dyDescent="0.15">
      <c r="A14" s="83" t="s">
        <v>153</v>
      </c>
      <c r="B14" s="82" t="s">
        <v>152</v>
      </c>
      <c r="C14" s="81" t="s">
        <v>148</v>
      </c>
      <c r="D14" s="80" t="s">
        <v>144</v>
      </c>
      <c r="E14" s="83" t="s">
        <v>151</v>
      </c>
      <c r="F14" s="82" t="s">
        <v>150</v>
      </c>
      <c r="G14" s="81" t="s">
        <v>149</v>
      </c>
      <c r="H14" s="80" t="s">
        <v>142</v>
      </c>
      <c r="I14" s="83" t="s">
        <v>68</v>
      </c>
      <c r="J14" s="82" t="s">
        <v>67</v>
      </c>
      <c r="K14" s="81" t="s">
        <v>140</v>
      </c>
      <c r="L14" s="80" t="s">
        <v>139</v>
      </c>
    </row>
    <row r="15" spans="1:12" s="73" customFormat="1" x14ac:dyDescent="0.15">
      <c r="A15" s="83" t="s">
        <v>147</v>
      </c>
      <c r="B15" s="82" t="s">
        <v>146</v>
      </c>
      <c r="C15" s="81" t="s">
        <v>148</v>
      </c>
      <c r="D15" s="80" t="s">
        <v>144</v>
      </c>
      <c r="E15" s="83" t="s">
        <v>136</v>
      </c>
      <c r="F15" s="82" t="s">
        <v>135</v>
      </c>
      <c r="G15" s="81" t="s">
        <v>143</v>
      </c>
      <c r="H15" s="80" t="s">
        <v>142</v>
      </c>
      <c r="I15" s="83" t="s">
        <v>68</v>
      </c>
      <c r="J15" s="82" t="s">
        <v>67</v>
      </c>
      <c r="K15" s="81" t="s">
        <v>140</v>
      </c>
      <c r="L15" s="80" t="s">
        <v>139</v>
      </c>
    </row>
    <row r="16" spans="1:12" s="73" customFormat="1" x14ac:dyDescent="0.15">
      <c r="A16" s="83" t="s">
        <v>147</v>
      </c>
      <c r="B16" s="82" t="s">
        <v>146</v>
      </c>
      <c r="C16" s="81" t="s">
        <v>145</v>
      </c>
      <c r="D16" s="80" t="s">
        <v>144</v>
      </c>
      <c r="E16" s="83" t="s">
        <v>136</v>
      </c>
      <c r="F16" s="82" t="s">
        <v>135</v>
      </c>
      <c r="G16" s="81" t="s">
        <v>143</v>
      </c>
      <c r="H16" s="80" t="s">
        <v>142</v>
      </c>
      <c r="I16" s="83" t="s">
        <v>141</v>
      </c>
      <c r="J16" s="82" t="s">
        <v>67</v>
      </c>
      <c r="K16" s="81" t="s">
        <v>140</v>
      </c>
      <c r="L16" s="80" t="s">
        <v>139</v>
      </c>
    </row>
    <row r="17" spans="1:12" s="73" customFormat="1" x14ac:dyDescent="0.15">
      <c r="A17" s="83"/>
      <c r="B17" s="82"/>
      <c r="C17" s="81"/>
      <c r="D17" s="80"/>
      <c r="E17" s="83" t="s">
        <v>136</v>
      </c>
      <c r="F17" s="82" t="s">
        <v>135</v>
      </c>
      <c r="G17" s="81" t="s">
        <v>75</v>
      </c>
      <c r="H17" s="80" t="s">
        <v>134</v>
      </c>
      <c r="I17" s="83" t="s">
        <v>138</v>
      </c>
      <c r="J17" s="82" t="s">
        <v>137</v>
      </c>
      <c r="K17" s="81" t="s">
        <v>138</v>
      </c>
      <c r="L17" s="80" t="s">
        <v>137</v>
      </c>
    </row>
    <row r="18" spans="1:12" s="73" customFormat="1" ht="14.25" thickBot="1" x14ac:dyDescent="0.2">
      <c r="A18" s="79"/>
      <c r="B18" s="78"/>
      <c r="C18" s="77"/>
      <c r="D18" s="76"/>
      <c r="E18" s="79" t="s">
        <v>136</v>
      </c>
      <c r="F18" s="78" t="s">
        <v>135</v>
      </c>
      <c r="G18" s="77" t="s">
        <v>75</v>
      </c>
      <c r="H18" s="76" t="s">
        <v>134</v>
      </c>
      <c r="I18" s="79" t="s">
        <v>133</v>
      </c>
      <c r="J18" s="78" t="s">
        <v>132</v>
      </c>
      <c r="K18" s="77" t="s">
        <v>131</v>
      </c>
      <c r="L18" s="76" t="s">
        <v>130</v>
      </c>
    </row>
    <row r="21" spans="1:12" s="73" customFormat="1" ht="15.75" x14ac:dyDescent="0.15">
      <c r="A21" s="74" t="s">
        <v>129</v>
      </c>
      <c r="B21" s="74" t="s">
        <v>128</v>
      </c>
      <c r="C21" s="74" t="s">
        <v>127</v>
      </c>
      <c r="D21" s="74" t="s">
        <v>126</v>
      </c>
    </row>
    <row r="22" spans="1:12" x14ac:dyDescent="0.15">
      <c r="A22" s="74" t="s">
        <v>125</v>
      </c>
      <c r="B22" s="74" t="s">
        <v>124</v>
      </c>
      <c r="C22" s="74" t="s">
        <v>123</v>
      </c>
      <c r="D22" s="74" t="s">
        <v>122</v>
      </c>
      <c r="E22" s="73"/>
    </row>
    <row r="23" spans="1:12" x14ac:dyDescent="0.15">
      <c r="A23" s="74" t="s">
        <v>121</v>
      </c>
      <c r="B23" s="74" t="s">
        <v>120</v>
      </c>
      <c r="C23" s="74" t="s">
        <v>119</v>
      </c>
      <c r="D23" s="74" t="s">
        <v>118</v>
      </c>
      <c r="E23" s="73"/>
    </row>
    <row r="24" spans="1:12" x14ac:dyDescent="0.15">
      <c r="A24" s="74" t="s">
        <v>117</v>
      </c>
      <c r="B24" s="74" t="s">
        <v>116</v>
      </c>
      <c r="C24" s="74" t="s">
        <v>115</v>
      </c>
      <c r="D24" s="74" t="s">
        <v>114</v>
      </c>
      <c r="E24" s="73"/>
    </row>
    <row r="25" spans="1:12" x14ac:dyDescent="0.15">
      <c r="A25" s="74" t="s">
        <v>113</v>
      </c>
      <c r="B25" s="74" t="s">
        <v>112</v>
      </c>
      <c r="C25" s="74" t="s">
        <v>111</v>
      </c>
      <c r="D25" s="74" t="s">
        <v>110</v>
      </c>
      <c r="E25" s="73"/>
    </row>
    <row r="26" spans="1:12" x14ac:dyDescent="0.15">
      <c r="A26" s="74" t="s">
        <v>109</v>
      </c>
      <c r="B26" s="74" t="s">
        <v>108</v>
      </c>
      <c r="C26" s="74" t="s">
        <v>107</v>
      </c>
      <c r="D26" s="74" t="s">
        <v>106</v>
      </c>
      <c r="E26" s="73"/>
    </row>
    <row r="27" spans="1:12" x14ac:dyDescent="0.15">
      <c r="A27" s="74" t="s">
        <v>105</v>
      </c>
      <c r="B27" s="74" t="s">
        <v>104</v>
      </c>
      <c r="C27" s="74" t="s">
        <v>103</v>
      </c>
      <c r="D27" s="74" t="s">
        <v>102</v>
      </c>
      <c r="E27" s="73"/>
    </row>
    <row r="28" spans="1:12" x14ac:dyDescent="0.15">
      <c r="A28" s="74" t="s">
        <v>101</v>
      </c>
      <c r="B28" s="74" t="s">
        <v>100</v>
      </c>
      <c r="C28" s="74" t="s">
        <v>99</v>
      </c>
      <c r="D28" s="74" t="s">
        <v>98</v>
      </c>
      <c r="E28" s="73"/>
    </row>
    <row r="29" spans="1:12" x14ac:dyDescent="0.15">
      <c r="A29" s="74" t="s">
        <v>97</v>
      </c>
      <c r="B29" s="74" t="s">
        <v>96</v>
      </c>
      <c r="C29" s="74" t="s">
        <v>95</v>
      </c>
      <c r="D29" s="74" t="s">
        <v>94</v>
      </c>
      <c r="E29" s="73"/>
    </row>
    <row r="30" spans="1:12" x14ac:dyDescent="0.15">
      <c r="A30" s="74" t="s">
        <v>93</v>
      </c>
      <c r="B30" s="74" t="s">
        <v>92</v>
      </c>
      <c r="C30" s="74" t="s">
        <v>91</v>
      </c>
      <c r="D30" s="74" t="s">
        <v>90</v>
      </c>
      <c r="E30" s="73"/>
    </row>
    <row r="31" spans="1:12" x14ac:dyDescent="0.15">
      <c r="A31" s="74" t="s">
        <v>89</v>
      </c>
      <c r="B31" s="74" t="s">
        <v>88</v>
      </c>
      <c r="C31" s="74" t="s">
        <v>87</v>
      </c>
      <c r="D31" s="74" t="s">
        <v>86</v>
      </c>
      <c r="E31" s="73"/>
    </row>
    <row r="32" spans="1:12" x14ac:dyDescent="0.15">
      <c r="A32" s="74" t="s">
        <v>85</v>
      </c>
      <c r="B32" s="74" t="s">
        <v>84</v>
      </c>
      <c r="C32" s="74" t="s">
        <v>83</v>
      </c>
      <c r="D32" s="74" t="s">
        <v>82</v>
      </c>
      <c r="E32" s="73"/>
    </row>
    <row r="33" spans="1:5" x14ac:dyDescent="0.15">
      <c r="A33" s="74" t="s">
        <v>81</v>
      </c>
      <c r="B33" s="74" t="s">
        <v>78</v>
      </c>
      <c r="C33" s="74" t="s">
        <v>77</v>
      </c>
      <c r="D33" s="74" t="s">
        <v>80</v>
      </c>
      <c r="E33" s="73"/>
    </row>
    <row r="34" spans="1:5" x14ac:dyDescent="0.15">
      <c r="A34" s="74" t="s">
        <v>79</v>
      </c>
      <c r="B34" s="74" t="s">
        <v>78</v>
      </c>
      <c r="C34" s="74" t="s">
        <v>77</v>
      </c>
      <c r="D34" s="74" t="s">
        <v>76</v>
      </c>
      <c r="E34" s="73"/>
    </row>
    <row r="35" spans="1:5" x14ac:dyDescent="0.15">
      <c r="A35" s="74" t="s">
        <v>75</v>
      </c>
      <c r="B35" s="74" t="s">
        <v>74</v>
      </c>
      <c r="C35" s="74" t="s">
        <v>70</v>
      </c>
      <c r="D35" s="74" t="s">
        <v>73</v>
      </c>
      <c r="E35" s="73"/>
    </row>
    <row r="36" spans="1:5" x14ac:dyDescent="0.15">
      <c r="A36" s="74" t="s">
        <v>72</v>
      </c>
      <c r="B36" s="74" t="s">
        <v>71</v>
      </c>
      <c r="C36" s="74" t="s">
        <v>70</v>
      </c>
      <c r="D36" s="74" t="s">
        <v>69</v>
      </c>
      <c r="E36" s="73"/>
    </row>
    <row r="37" spans="1:5" x14ac:dyDescent="0.15">
      <c r="A37" s="74" t="s">
        <v>68</v>
      </c>
      <c r="B37" s="74" t="s">
        <v>67</v>
      </c>
      <c r="C37" s="74" t="s">
        <v>66</v>
      </c>
      <c r="D37" s="74" t="s">
        <v>65</v>
      </c>
      <c r="E37" s="73"/>
    </row>
    <row r="38" spans="1:5" x14ac:dyDescent="0.15">
      <c r="A38" s="75" t="s">
        <v>64</v>
      </c>
      <c r="B38" s="74" t="s">
        <v>63</v>
      </c>
      <c r="C38" s="74" t="s">
        <v>62</v>
      </c>
      <c r="D38" s="74" t="s">
        <v>61</v>
      </c>
    </row>
    <row r="39" spans="1:5" x14ac:dyDescent="0.15">
      <c r="A39" s="75" t="s">
        <v>60</v>
      </c>
      <c r="B39" s="74" t="s">
        <v>59</v>
      </c>
      <c r="C39" s="74" t="s">
        <v>56</v>
      </c>
      <c r="D39" s="74" t="s">
        <v>55</v>
      </c>
    </row>
    <row r="40" spans="1:5" x14ac:dyDescent="0.15">
      <c r="A40" s="75" t="s">
        <v>58</v>
      </c>
      <c r="B40" s="74" t="s">
        <v>57</v>
      </c>
      <c r="C40" s="74" t="s">
        <v>56</v>
      </c>
      <c r="D40" s="74" t="s">
        <v>55</v>
      </c>
    </row>
  </sheetData>
  <sheetProtection password="CB53" sheet="1"/>
  <mergeCells count="6">
    <mergeCell ref="K3:L3"/>
    <mergeCell ref="A3:B3"/>
    <mergeCell ref="C3:D3"/>
    <mergeCell ref="E3:F3"/>
    <mergeCell ref="G3:H3"/>
    <mergeCell ref="I3:J3"/>
  </mergeCells>
  <phoneticPr fontId="2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indowProtection="1" workbookViewId="0">
      <pane ySplit="2" topLeftCell="A42" activePane="bottomLeft" state="frozen"/>
      <selection activeCell="D31" sqref="D31"/>
      <selection pane="bottomLeft" activeCell="L52" sqref="L52"/>
    </sheetView>
  </sheetViews>
  <sheetFormatPr defaultColWidth="9" defaultRowHeight="13.5" x14ac:dyDescent="0.15"/>
  <cols>
    <col min="1" max="1" width="8.75" style="88" customWidth="1"/>
    <col min="2" max="4" width="9" style="88"/>
    <col min="5" max="5" width="14" style="88" customWidth="1"/>
    <col min="6" max="16384" width="9" style="88"/>
  </cols>
  <sheetData>
    <row r="1" spans="1:9" ht="15" x14ac:dyDescent="0.2">
      <c r="A1" s="102" t="s">
        <v>186</v>
      </c>
      <c r="B1" s="102" t="s">
        <v>185</v>
      </c>
      <c r="C1" s="102" t="s">
        <v>184</v>
      </c>
      <c r="D1" s="102" t="s">
        <v>183</v>
      </c>
      <c r="E1" s="90" t="s">
        <v>182</v>
      </c>
      <c r="F1" s="212" t="s">
        <v>181</v>
      </c>
      <c r="G1" s="213"/>
      <c r="H1" s="213"/>
      <c r="I1" s="101" t="s">
        <v>180</v>
      </c>
    </row>
    <row r="2" spans="1:9" ht="14.25" thickBot="1" x14ac:dyDescent="0.25">
      <c r="A2" s="99" t="s">
        <v>179</v>
      </c>
      <c r="B2" s="99" t="s">
        <v>178</v>
      </c>
      <c r="C2" s="99" t="s">
        <v>177</v>
      </c>
      <c r="D2" s="100" t="s">
        <v>176</v>
      </c>
      <c r="E2" s="99" t="s">
        <v>175</v>
      </c>
      <c r="F2" s="99" t="s">
        <v>174</v>
      </c>
      <c r="G2" s="99" t="s">
        <v>173</v>
      </c>
      <c r="H2" s="99" t="s">
        <v>172</v>
      </c>
      <c r="I2" s="98" t="s">
        <v>171</v>
      </c>
    </row>
    <row r="3" spans="1:9" ht="14.25" thickTop="1" x14ac:dyDescent="0.2">
      <c r="A3" s="92">
        <v>0.1</v>
      </c>
      <c r="B3" s="94">
        <f>3.1415926*A3*A3/4</f>
        <v>7.8539815000000009E-3</v>
      </c>
      <c r="C3" s="91">
        <v>38</v>
      </c>
      <c r="D3" s="91">
        <v>42</v>
      </c>
      <c r="E3" s="92">
        <v>0.125</v>
      </c>
      <c r="F3" s="92">
        <f t="shared" ref="F3:F34" si="0">1/58.527/B3</f>
        <v>2.1754738265318365</v>
      </c>
      <c r="G3" s="92">
        <v>2.0339999999999998</v>
      </c>
      <c r="H3" s="92">
        <v>2.3330000000000002</v>
      </c>
      <c r="I3" s="94">
        <f t="shared" ref="I3:I34" si="1">B3/100*100000*8.9/1000</f>
        <v>6.9900435350000012E-2</v>
      </c>
    </row>
    <row r="4" spans="1:9" x14ac:dyDescent="0.2">
      <c r="A4" s="92">
        <v>0.112</v>
      </c>
      <c r="B4" s="94">
        <f>3.1415926*A4*A4/4</f>
        <v>9.8520343936000006E-3</v>
      </c>
      <c r="C4" s="91">
        <v>37</v>
      </c>
      <c r="D4" s="91">
        <v>41</v>
      </c>
      <c r="E4" s="92">
        <v>0.13900000000000001</v>
      </c>
      <c r="F4" s="92">
        <f t="shared" si="0"/>
        <v>1.7342744152836707</v>
      </c>
      <c r="G4" s="92">
        <v>1.6319999999999999</v>
      </c>
      <c r="H4" s="92">
        <v>1.8480000000000001</v>
      </c>
      <c r="I4" s="94">
        <f t="shared" si="1"/>
        <v>8.7683106103040018E-2</v>
      </c>
    </row>
    <row r="5" spans="1:9" x14ac:dyDescent="0.2">
      <c r="A5" s="95">
        <v>0.11799999999999999</v>
      </c>
      <c r="B5" s="96">
        <f>3.1415926*A5*A5/4</f>
        <v>1.0935883840599998E-2</v>
      </c>
      <c r="C5" s="91" t="s">
        <v>170</v>
      </c>
      <c r="D5" s="91" t="s">
        <v>170</v>
      </c>
      <c r="E5" s="92">
        <v>0.14499999999999999</v>
      </c>
      <c r="F5" s="92">
        <f t="shared" si="0"/>
        <v>1.5623914295689723</v>
      </c>
      <c r="G5" s="92">
        <v>1.474</v>
      </c>
      <c r="H5" s="92">
        <v>1.6598999999999999</v>
      </c>
      <c r="I5" s="94">
        <f t="shared" si="1"/>
        <v>9.7329366181339999E-2</v>
      </c>
    </row>
    <row r="6" spans="1:9" x14ac:dyDescent="0.2">
      <c r="A6" s="92">
        <v>0.125</v>
      </c>
      <c r="B6" s="96">
        <f t="shared" ref="B6:B37" si="2">3.14*A6*A6/4</f>
        <v>1.2265625E-2</v>
      </c>
      <c r="C6" s="91">
        <v>36</v>
      </c>
      <c r="D6" s="91">
        <v>40</v>
      </c>
      <c r="E6" s="92">
        <v>0.154</v>
      </c>
      <c r="F6" s="92">
        <f t="shared" si="0"/>
        <v>1.393009421640989</v>
      </c>
      <c r="G6" s="92">
        <v>1.3169999999999999</v>
      </c>
      <c r="H6" s="92">
        <v>1.4750000000000001</v>
      </c>
      <c r="I6" s="96">
        <f t="shared" si="1"/>
        <v>0.10916406250000002</v>
      </c>
    </row>
    <row r="7" spans="1:9" x14ac:dyDescent="0.2">
      <c r="A7" s="92">
        <v>0.13</v>
      </c>
      <c r="B7" s="96">
        <f t="shared" si="2"/>
        <v>1.3266500000000001E-2</v>
      </c>
      <c r="C7" s="91"/>
      <c r="D7" s="91"/>
      <c r="E7" s="92">
        <v>0.161</v>
      </c>
      <c r="F7" s="92">
        <f t="shared" si="0"/>
        <v>1.2879155155704409</v>
      </c>
      <c r="G7" s="92">
        <v>1.22</v>
      </c>
      <c r="H7" s="92">
        <v>1.361</v>
      </c>
      <c r="I7" s="96">
        <f t="shared" si="1"/>
        <v>0.11807185000000002</v>
      </c>
    </row>
    <row r="8" spans="1:9" x14ac:dyDescent="0.2">
      <c r="A8" s="95">
        <v>0.13200000000000001</v>
      </c>
      <c r="B8" s="96">
        <f t="shared" si="2"/>
        <v>1.3677840000000002E-2</v>
      </c>
      <c r="C8" s="91" t="s">
        <v>170</v>
      </c>
      <c r="D8" s="92" t="s">
        <v>170</v>
      </c>
      <c r="E8" s="92">
        <v>0.16200000000000001</v>
      </c>
      <c r="F8" s="92">
        <f t="shared" si="0"/>
        <v>1.2491834373932764</v>
      </c>
      <c r="G8" s="92">
        <v>1.1839999999999999</v>
      </c>
      <c r="H8" s="92">
        <v>1.319</v>
      </c>
      <c r="I8" s="96">
        <f t="shared" si="1"/>
        <v>0.12173277600000003</v>
      </c>
    </row>
    <row r="9" spans="1:9" x14ac:dyDescent="0.2">
      <c r="A9" s="92">
        <v>0.14000000000000001</v>
      </c>
      <c r="B9" s="96">
        <f t="shared" si="2"/>
        <v>1.5386000000000004E-2</v>
      </c>
      <c r="C9" s="91">
        <v>35</v>
      </c>
      <c r="D9" s="91">
        <v>39</v>
      </c>
      <c r="E9" s="92">
        <v>0.17100000000000001</v>
      </c>
      <c r="F9" s="92">
        <f t="shared" si="0"/>
        <v>1.110498582303084</v>
      </c>
      <c r="G9" s="92">
        <v>1.0549999999999999</v>
      </c>
      <c r="H9" s="92">
        <v>1.17</v>
      </c>
      <c r="I9" s="96">
        <f t="shared" si="1"/>
        <v>0.13693540000000004</v>
      </c>
    </row>
    <row r="10" spans="1:9" x14ac:dyDescent="0.2">
      <c r="A10" s="95">
        <v>0.15</v>
      </c>
      <c r="B10" s="96">
        <f t="shared" si="2"/>
        <v>1.7662499999999998E-2</v>
      </c>
      <c r="C10" s="91" t="s">
        <v>170</v>
      </c>
      <c r="D10" s="91" t="s">
        <v>170</v>
      </c>
      <c r="E10" s="92">
        <v>0.182</v>
      </c>
      <c r="F10" s="97">
        <f t="shared" si="0"/>
        <v>0.96736765391735358</v>
      </c>
      <c r="G10" s="97">
        <v>0.92190000000000005</v>
      </c>
      <c r="H10" s="97">
        <v>1.0159</v>
      </c>
      <c r="I10" s="96">
        <f t="shared" si="1"/>
        <v>0.15719624999999998</v>
      </c>
    </row>
    <row r="11" spans="1:9" x14ac:dyDescent="0.2">
      <c r="A11" s="92">
        <v>0.16</v>
      </c>
      <c r="B11" s="96">
        <f t="shared" si="2"/>
        <v>2.0096000000000003E-2</v>
      </c>
      <c r="C11" s="91">
        <v>34</v>
      </c>
      <c r="D11" s="91">
        <v>38</v>
      </c>
      <c r="E11" s="92">
        <v>0.19400000000000001</v>
      </c>
      <c r="F11" s="97">
        <f t="shared" si="0"/>
        <v>0.85022547707579876</v>
      </c>
      <c r="G11" s="97">
        <v>0.81220000000000003</v>
      </c>
      <c r="H11" s="97">
        <v>0.89059999999999995</v>
      </c>
      <c r="I11" s="96">
        <f t="shared" si="1"/>
        <v>0.17885440000000002</v>
      </c>
    </row>
    <row r="12" spans="1:9" x14ac:dyDescent="0.2">
      <c r="A12" s="95">
        <v>0.17</v>
      </c>
      <c r="B12" s="96">
        <f t="shared" si="2"/>
        <v>2.2686500000000005E-2</v>
      </c>
      <c r="C12" s="91" t="s">
        <v>170</v>
      </c>
      <c r="D12" s="91" t="s">
        <v>170</v>
      </c>
      <c r="E12" s="92">
        <v>0.20499999999999999</v>
      </c>
      <c r="F12" s="97">
        <f t="shared" si="0"/>
        <v>0.75314090702908121</v>
      </c>
      <c r="G12" s="97">
        <v>0.72109999999999996</v>
      </c>
      <c r="H12" s="97">
        <v>0.78710000000000002</v>
      </c>
      <c r="I12" s="96">
        <f t="shared" si="1"/>
        <v>0.20190985000000006</v>
      </c>
    </row>
    <row r="13" spans="1:9" x14ac:dyDescent="0.2">
      <c r="A13" s="92">
        <v>0.18</v>
      </c>
      <c r="B13" s="96">
        <f t="shared" si="2"/>
        <v>2.5434000000000002E-2</v>
      </c>
      <c r="C13" s="91">
        <v>33</v>
      </c>
      <c r="D13" s="91">
        <v>36</v>
      </c>
      <c r="E13" s="92">
        <v>0.217</v>
      </c>
      <c r="F13" s="97">
        <f t="shared" si="0"/>
        <v>0.67178309299816208</v>
      </c>
      <c r="G13" s="97">
        <v>0.64439999999999997</v>
      </c>
      <c r="H13" s="97">
        <v>0.70069999999999999</v>
      </c>
      <c r="I13" s="96">
        <f t="shared" si="1"/>
        <v>0.22636260000000005</v>
      </c>
    </row>
    <row r="14" spans="1:9" x14ac:dyDescent="0.2">
      <c r="A14" s="95">
        <v>0.19</v>
      </c>
      <c r="B14" s="96">
        <f t="shared" si="2"/>
        <v>2.8338500000000003E-2</v>
      </c>
      <c r="C14" s="91" t="s">
        <v>170</v>
      </c>
      <c r="D14" s="91" t="s">
        <v>170</v>
      </c>
      <c r="E14" s="92">
        <v>0.22800000000000001</v>
      </c>
      <c r="F14" s="97">
        <f t="shared" si="0"/>
        <v>0.6029299782033366</v>
      </c>
      <c r="G14" s="97">
        <v>0.57940000000000003</v>
      </c>
      <c r="H14" s="97">
        <v>0.62780000000000002</v>
      </c>
      <c r="I14" s="96">
        <f t="shared" si="1"/>
        <v>0.25221265000000004</v>
      </c>
    </row>
    <row r="15" spans="1:9" x14ac:dyDescent="0.2">
      <c r="A15" s="92">
        <v>0.2</v>
      </c>
      <c r="B15" s="96">
        <f t="shared" si="2"/>
        <v>3.1400000000000004E-2</v>
      </c>
      <c r="C15" s="91">
        <v>32</v>
      </c>
      <c r="D15" s="91">
        <v>35</v>
      </c>
      <c r="E15" s="92">
        <v>0.23899999999999999</v>
      </c>
      <c r="F15" s="97">
        <f t="shared" si="0"/>
        <v>0.54414430532851121</v>
      </c>
      <c r="G15" s="97">
        <v>0.52370000000000005</v>
      </c>
      <c r="H15" s="97">
        <v>0.56569999999999998</v>
      </c>
      <c r="I15" s="96">
        <f t="shared" si="1"/>
        <v>0.27946000000000004</v>
      </c>
    </row>
    <row r="16" spans="1:9" x14ac:dyDescent="0.2">
      <c r="A16" s="92">
        <v>0.21</v>
      </c>
      <c r="B16" s="96">
        <f t="shared" si="2"/>
        <v>3.4618499999999996E-2</v>
      </c>
      <c r="C16" s="91"/>
      <c r="D16" s="91"/>
      <c r="E16" s="92">
        <v>0.249</v>
      </c>
      <c r="F16" s="97">
        <f t="shared" si="0"/>
        <v>0.49355492546803748</v>
      </c>
      <c r="G16" s="97">
        <v>0.4758</v>
      </c>
      <c r="H16" s="97">
        <v>0.51239999999999997</v>
      </c>
      <c r="I16" s="96">
        <f t="shared" si="1"/>
        <v>0.30810464999999998</v>
      </c>
    </row>
    <row r="17" spans="1:9" x14ac:dyDescent="0.2">
      <c r="A17" s="95">
        <v>0.21199999999999999</v>
      </c>
      <c r="B17" s="96">
        <f t="shared" si="2"/>
        <v>3.528104E-2</v>
      </c>
      <c r="C17" s="91" t="s">
        <v>170</v>
      </c>
      <c r="D17" s="91" t="s">
        <v>170</v>
      </c>
      <c r="E17" s="92">
        <v>0.254</v>
      </c>
      <c r="F17" s="97">
        <f t="shared" si="0"/>
        <v>0.48428649459639667</v>
      </c>
      <c r="G17" s="97">
        <v>0.46689999999999998</v>
      </c>
      <c r="H17" s="97">
        <v>0.50260000000000005</v>
      </c>
      <c r="I17" s="96">
        <f t="shared" si="1"/>
        <v>0.31400125600000001</v>
      </c>
    </row>
    <row r="18" spans="1:9" x14ac:dyDescent="0.2">
      <c r="A18" s="92">
        <v>0.224</v>
      </c>
      <c r="B18" s="96">
        <f t="shared" si="2"/>
        <v>3.9388160000000005E-2</v>
      </c>
      <c r="C18" s="91">
        <v>31</v>
      </c>
      <c r="D18" s="91">
        <v>34</v>
      </c>
      <c r="E18" s="92">
        <v>0.26600000000000001</v>
      </c>
      <c r="F18" s="97">
        <f t="shared" si="0"/>
        <v>0.43378850871214225</v>
      </c>
      <c r="G18" s="97">
        <v>0.41880000000000001</v>
      </c>
      <c r="H18" s="97">
        <v>0.44950000000000001</v>
      </c>
      <c r="I18" s="96">
        <f t="shared" si="1"/>
        <v>0.35055462400000004</v>
      </c>
    </row>
    <row r="19" spans="1:9" x14ac:dyDescent="0.2">
      <c r="A19" s="92">
        <v>0.23</v>
      </c>
      <c r="B19" s="96">
        <f t="shared" si="2"/>
        <v>4.1526500000000008E-2</v>
      </c>
      <c r="C19" s="91"/>
      <c r="D19" s="91"/>
      <c r="E19" s="92">
        <v>0.27200000000000002</v>
      </c>
      <c r="F19" s="97">
        <f t="shared" si="0"/>
        <v>0.41145127056976272</v>
      </c>
      <c r="G19" s="97">
        <v>0.39760000000000001</v>
      </c>
      <c r="H19" s="97">
        <v>0.42609999999999998</v>
      </c>
      <c r="I19" s="96">
        <f t="shared" si="1"/>
        <v>0.36958585000000005</v>
      </c>
    </row>
    <row r="20" spans="1:9" x14ac:dyDescent="0.2">
      <c r="A20" s="95">
        <v>0.23599999999999999</v>
      </c>
      <c r="B20" s="96">
        <f t="shared" si="2"/>
        <v>4.3721360000000001E-2</v>
      </c>
      <c r="C20" s="91" t="s">
        <v>170</v>
      </c>
      <c r="D20" s="91" t="s">
        <v>170</v>
      </c>
      <c r="E20" s="92">
        <v>0.28299999999999997</v>
      </c>
      <c r="F20" s="97">
        <f t="shared" si="0"/>
        <v>0.39079596763035856</v>
      </c>
      <c r="G20" s="97">
        <v>0.37469999999999998</v>
      </c>
      <c r="H20" s="97">
        <v>0.40789999999999998</v>
      </c>
      <c r="I20" s="96">
        <f t="shared" si="1"/>
        <v>0.38912010400000002</v>
      </c>
    </row>
    <row r="21" spans="1:9" x14ac:dyDescent="0.2">
      <c r="A21" s="92">
        <v>0.25</v>
      </c>
      <c r="B21" s="96">
        <f t="shared" si="2"/>
        <v>4.9062500000000002E-2</v>
      </c>
      <c r="C21" s="91">
        <v>30</v>
      </c>
      <c r="D21" s="91">
        <v>33</v>
      </c>
      <c r="E21" s="92">
        <v>0.29699999999999999</v>
      </c>
      <c r="F21" s="97">
        <f t="shared" si="0"/>
        <v>0.34825235541024724</v>
      </c>
      <c r="G21" s="97">
        <v>0.33450000000000002</v>
      </c>
      <c r="H21" s="97">
        <v>0.36280000000000001</v>
      </c>
      <c r="I21" s="96">
        <f t="shared" si="1"/>
        <v>0.43665625000000008</v>
      </c>
    </row>
    <row r="22" spans="1:9" x14ac:dyDescent="0.2">
      <c r="A22" s="95">
        <v>0.26500000000000001</v>
      </c>
      <c r="B22" s="96">
        <f t="shared" si="2"/>
        <v>5.5126625000000005E-2</v>
      </c>
      <c r="C22" s="91" t="s">
        <v>170</v>
      </c>
      <c r="D22" s="91" t="s">
        <v>170</v>
      </c>
      <c r="E22" s="92">
        <v>0.314</v>
      </c>
      <c r="F22" s="97">
        <f t="shared" si="0"/>
        <v>0.30994335654169386</v>
      </c>
      <c r="G22" s="97">
        <v>0.29820000000000002</v>
      </c>
      <c r="H22" s="97">
        <v>0.32229999999999998</v>
      </c>
      <c r="I22" s="96">
        <f t="shared" si="1"/>
        <v>0.4906269625000001</v>
      </c>
    </row>
    <row r="23" spans="1:9" x14ac:dyDescent="0.2">
      <c r="A23" s="95">
        <v>0.27</v>
      </c>
      <c r="B23" s="96">
        <f t="shared" si="2"/>
        <v>5.7226500000000013E-2</v>
      </c>
      <c r="C23" s="91"/>
      <c r="D23" s="91"/>
      <c r="E23" s="92">
        <v>0.31900000000000001</v>
      </c>
      <c r="F23" s="97">
        <f t="shared" si="0"/>
        <v>0.29857026355473865</v>
      </c>
      <c r="G23" s="97">
        <v>0.28129999999999999</v>
      </c>
      <c r="H23" s="97">
        <v>0.308</v>
      </c>
      <c r="I23" s="96">
        <f t="shared" si="1"/>
        <v>0.50931585000000024</v>
      </c>
    </row>
    <row r="24" spans="1:9" x14ac:dyDescent="0.2">
      <c r="A24" s="92">
        <v>0.28000000000000003</v>
      </c>
      <c r="B24" s="96">
        <f t="shared" si="2"/>
        <v>6.1544000000000015E-2</v>
      </c>
      <c r="C24" s="91">
        <v>29</v>
      </c>
      <c r="D24" s="91">
        <v>32</v>
      </c>
      <c r="E24" s="92">
        <v>0.32900000000000001</v>
      </c>
      <c r="F24" s="97">
        <f t="shared" si="0"/>
        <v>0.27762464557577099</v>
      </c>
      <c r="G24" s="97">
        <v>0.2676</v>
      </c>
      <c r="H24" s="97">
        <v>0.28820000000000001</v>
      </c>
      <c r="I24" s="96">
        <f t="shared" si="1"/>
        <v>0.54774160000000016</v>
      </c>
    </row>
    <row r="25" spans="1:9" x14ac:dyDescent="0.2">
      <c r="A25" s="92">
        <v>0.28999999999999998</v>
      </c>
      <c r="B25" s="96">
        <f t="shared" si="2"/>
        <v>6.6018499999999994E-2</v>
      </c>
      <c r="C25" s="91"/>
      <c r="D25" s="91"/>
      <c r="E25" s="92">
        <v>0.34200000000000003</v>
      </c>
      <c r="F25" s="97">
        <f t="shared" si="0"/>
        <v>0.25880823083401255</v>
      </c>
      <c r="G25" s="97">
        <v>0.25140000000000001</v>
      </c>
      <c r="H25" s="97">
        <v>0.2666</v>
      </c>
      <c r="I25" s="96">
        <f t="shared" si="1"/>
        <v>0.58756465000000002</v>
      </c>
    </row>
    <row r="26" spans="1:9" x14ac:dyDescent="0.2">
      <c r="A26" s="95">
        <v>0.3</v>
      </c>
      <c r="B26" s="96">
        <f t="shared" si="2"/>
        <v>7.0649999999999991E-2</v>
      </c>
      <c r="C26" s="91" t="s">
        <v>170</v>
      </c>
      <c r="D26" s="91" t="s">
        <v>170</v>
      </c>
      <c r="E26" s="92">
        <v>0.35199999999999998</v>
      </c>
      <c r="F26" s="97">
        <f t="shared" si="0"/>
        <v>0.24184191347933839</v>
      </c>
      <c r="G26" s="97">
        <v>0.23350000000000001</v>
      </c>
      <c r="H26" s="97">
        <v>0.25059999999999999</v>
      </c>
      <c r="I26" s="96">
        <f t="shared" si="1"/>
        <v>0.62878499999999993</v>
      </c>
    </row>
    <row r="27" spans="1:9" x14ac:dyDescent="0.2">
      <c r="A27" s="95">
        <v>0.31</v>
      </c>
      <c r="B27" s="96">
        <f t="shared" si="2"/>
        <v>7.5438500000000006E-2</v>
      </c>
      <c r="C27" s="91"/>
      <c r="D27" s="91"/>
      <c r="E27" s="92">
        <v>0.36199999999999999</v>
      </c>
      <c r="F27" s="97">
        <f t="shared" si="0"/>
        <v>0.22649086590156556</v>
      </c>
      <c r="G27" s="97">
        <v>0.21890000000000001</v>
      </c>
      <c r="H27" s="97">
        <v>0.2344</v>
      </c>
      <c r="I27" s="96">
        <f t="shared" si="1"/>
        <v>0.6714026500000001</v>
      </c>
    </row>
    <row r="28" spans="1:9" x14ac:dyDescent="0.2">
      <c r="A28" s="92">
        <v>0.315</v>
      </c>
      <c r="B28" s="96">
        <f t="shared" si="2"/>
        <v>7.7891625000000006E-2</v>
      </c>
      <c r="C28" s="91">
        <v>28</v>
      </c>
      <c r="D28" s="91">
        <v>30</v>
      </c>
      <c r="E28" s="92">
        <v>0.36699999999999999</v>
      </c>
      <c r="F28" s="97">
        <f t="shared" si="0"/>
        <v>0.21935774465246108</v>
      </c>
      <c r="G28" s="97">
        <v>0.21210000000000001</v>
      </c>
      <c r="H28" s="97">
        <v>0.22700000000000001</v>
      </c>
      <c r="I28" s="96">
        <f t="shared" si="1"/>
        <v>0.69323546250000001</v>
      </c>
    </row>
    <row r="29" spans="1:9" x14ac:dyDescent="0.2">
      <c r="A29" s="95">
        <v>0.33500000000000002</v>
      </c>
      <c r="B29" s="96">
        <f t="shared" si="2"/>
        <v>8.8096625000000012E-2</v>
      </c>
      <c r="C29" s="91" t="s">
        <v>170</v>
      </c>
      <c r="D29" s="92" t="s">
        <v>170</v>
      </c>
      <c r="E29" s="92">
        <v>0.39100000000000001</v>
      </c>
      <c r="F29" s="97">
        <f t="shared" si="0"/>
        <v>0.19394762497786097</v>
      </c>
      <c r="G29" s="97">
        <v>0.18779999999999999</v>
      </c>
      <c r="H29" s="97">
        <v>0.20039999999999999</v>
      </c>
      <c r="I29" s="96">
        <f t="shared" si="1"/>
        <v>0.78405996250000021</v>
      </c>
    </row>
    <row r="30" spans="1:9" x14ac:dyDescent="0.2">
      <c r="A30" s="95">
        <v>0.35</v>
      </c>
      <c r="B30" s="96">
        <f t="shared" si="2"/>
        <v>9.6162499999999998E-2</v>
      </c>
      <c r="C30" s="91"/>
      <c r="D30" s="92"/>
      <c r="E30" s="92">
        <v>0.40600000000000003</v>
      </c>
      <c r="F30" s="97">
        <f t="shared" si="0"/>
        <v>0.17767977316849348</v>
      </c>
      <c r="G30" s="97">
        <v>0.17219999999999999</v>
      </c>
      <c r="H30" s="97">
        <v>0.18340000000000001</v>
      </c>
      <c r="I30" s="96">
        <f t="shared" si="1"/>
        <v>0.85584625000000003</v>
      </c>
    </row>
    <row r="31" spans="1:9" x14ac:dyDescent="0.2">
      <c r="A31" s="92">
        <v>0.35499999999999998</v>
      </c>
      <c r="B31" s="96">
        <f t="shared" si="2"/>
        <v>9.8929624999999993E-2</v>
      </c>
      <c r="C31" s="91">
        <v>27</v>
      </c>
      <c r="D31" s="91">
        <v>29</v>
      </c>
      <c r="E31" s="92">
        <v>0.41099999999999998</v>
      </c>
      <c r="F31" s="97">
        <f t="shared" si="0"/>
        <v>0.17270995606538744</v>
      </c>
      <c r="G31" s="97">
        <v>0.16739999999999999</v>
      </c>
      <c r="H31" s="97">
        <v>0.1782</v>
      </c>
      <c r="I31" s="96">
        <f t="shared" si="1"/>
        <v>0.88047366249999992</v>
      </c>
    </row>
    <row r="32" spans="1:9" x14ac:dyDescent="0.2">
      <c r="A32" s="95">
        <v>0.375</v>
      </c>
      <c r="B32" s="97">
        <f t="shared" si="2"/>
        <v>0.11039062499999999</v>
      </c>
      <c r="C32" s="91" t="s">
        <v>170</v>
      </c>
      <c r="D32" s="92" t="s">
        <v>170</v>
      </c>
      <c r="E32" s="92">
        <v>0.434</v>
      </c>
      <c r="F32" s="97">
        <f t="shared" si="0"/>
        <v>0.15477882462677656</v>
      </c>
      <c r="G32" s="97">
        <v>0.14940000000000001</v>
      </c>
      <c r="H32" s="97">
        <v>0.16039999999999999</v>
      </c>
      <c r="I32" s="96">
        <f t="shared" si="1"/>
        <v>0.98247656249999993</v>
      </c>
    </row>
    <row r="33" spans="1:9" x14ac:dyDescent="0.2">
      <c r="A33" s="95">
        <v>0.38</v>
      </c>
      <c r="B33" s="97">
        <f t="shared" si="2"/>
        <v>0.11335400000000001</v>
      </c>
      <c r="C33" s="91"/>
      <c r="D33" s="92"/>
      <c r="E33" s="92">
        <v>0.439</v>
      </c>
      <c r="F33" s="97">
        <f t="shared" si="0"/>
        <v>0.15073249455083415</v>
      </c>
      <c r="G33" s="97">
        <v>0.1464</v>
      </c>
      <c r="H33" s="97">
        <v>0.15529999999999999</v>
      </c>
      <c r="I33" s="96">
        <f t="shared" si="1"/>
        <v>1.0088506000000002</v>
      </c>
    </row>
    <row r="34" spans="1:9" x14ac:dyDescent="0.2">
      <c r="A34" s="92">
        <v>0.4</v>
      </c>
      <c r="B34" s="97">
        <f t="shared" si="2"/>
        <v>0.12560000000000002</v>
      </c>
      <c r="C34" s="91">
        <v>26</v>
      </c>
      <c r="D34" s="91">
        <v>27</v>
      </c>
      <c r="E34" s="92">
        <v>0.45900000000000002</v>
      </c>
      <c r="F34" s="97">
        <f t="shared" si="0"/>
        <v>0.1360360763321278</v>
      </c>
      <c r="G34" s="97">
        <v>0.13159999999999999</v>
      </c>
      <c r="H34" s="97">
        <v>0.14069999999999999</v>
      </c>
      <c r="I34" s="97">
        <f t="shared" si="1"/>
        <v>1.1178400000000002</v>
      </c>
    </row>
    <row r="35" spans="1:9" x14ac:dyDescent="0.2">
      <c r="A35" s="92">
        <v>0.41</v>
      </c>
      <c r="B35" s="97">
        <f t="shared" si="2"/>
        <v>0.13195849999999998</v>
      </c>
      <c r="C35" s="91"/>
      <c r="D35" s="91"/>
      <c r="E35" s="92">
        <v>0.46899999999999997</v>
      </c>
      <c r="F35" s="97">
        <f t="shared" ref="F35:F66" si="3">1/58.527/B35</f>
        <v>0.12948109585449408</v>
      </c>
      <c r="G35" s="97">
        <v>0.12529999999999999</v>
      </c>
      <c r="H35" s="97">
        <v>0.1338</v>
      </c>
      <c r="I35" s="97">
        <f t="shared" ref="I35:I66" si="4">B35/100*100000*8.9/1000</f>
        <v>1.1744306499999999</v>
      </c>
    </row>
    <row r="36" spans="1:9" x14ac:dyDescent="0.2">
      <c r="A36" s="95">
        <v>0.42499999999999999</v>
      </c>
      <c r="B36" s="97">
        <f t="shared" si="2"/>
        <v>0.141790625</v>
      </c>
      <c r="C36" s="91" t="s">
        <v>170</v>
      </c>
      <c r="D36" s="91" t="s">
        <v>170</v>
      </c>
      <c r="E36" s="92">
        <v>0.48799999999999999</v>
      </c>
      <c r="F36" s="97">
        <f t="shared" si="3"/>
        <v>0.12050254512465301</v>
      </c>
      <c r="G36" s="97">
        <v>0.1167</v>
      </c>
      <c r="H36" s="97">
        <v>0.1244</v>
      </c>
      <c r="I36" s="97">
        <f t="shared" si="4"/>
        <v>1.2619365625000001</v>
      </c>
    </row>
    <row r="37" spans="1:9" x14ac:dyDescent="0.2">
      <c r="A37" s="95">
        <v>0.44</v>
      </c>
      <c r="B37" s="97">
        <f t="shared" si="2"/>
        <v>0.15197600000000003</v>
      </c>
      <c r="C37" s="91"/>
      <c r="D37" s="91"/>
      <c r="E37" s="92">
        <v>0.503</v>
      </c>
      <c r="F37" s="97">
        <f t="shared" si="3"/>
        <v>0.11242650936539487</v>
      </c>
      <c r="G37" s="97">
        <v>0.109</v>
      </c>
      <c r="H37" s="97">
        <v>0.11600000000000001</v>
      </c>
      <c r="I37" s="97">
        <f t="shared" si="4"/>
        <v>1.3525864000000003</v>
      </c>
    </row>
    <row r="38" spans="1:9" x14ac:dyDescent="0.2">
      <c r="A38" s="92">
        <v>0.45</v>
      </c>
      <c r="B38" s="97">
        <f t="shared" ref="B38:B69" si="5">3.14*A38*A38/4</f>
        <v>0.15896250000000001</v>
      </c>
      <c r="C38" s="91">
        <v>25</v>
      </c>
      <c r="D38" s="91">
        <v>26</v>
      </c>
      <c r="E38" s="92">
        <v>0.51300000000000001</v>
      </c>
      <c r="F38" s="97">
        <f t="shared" si="3"/>
        <v>0.10748529487970593</v>
      </c>
      <c r="G38" s="97">
        <v>0.1042</v>
      </c>
      <c r="H38" s="97">
        <v>0.1109</v>
      </c>
      <c r="I38" s="97">
        <f t="shared" si="4"/>
        <v>1.4147662500000002</v>
      </c>
    </row>
    <row r="39" spans="1:9" x14ac:dyDescent="0.2">
      <c r="A39" s="92">
        <v>0.47</v>
      </c>
      <c r="B39" s="97">
        <f t="shared" si="5"/>
        <v>0.17340649999999999</v>
      </c>
      <c r="C39" s="91"/>
      <c r="D39" s="91"/>
      <c r="E39" s="92">
        <v>0.53600000000000003</v>
      </c>
      <c r="F39" s="97">
        <f t="shared" si="3"/>
        <v>9.8532241797829115E-2</v>
      </c>
      <c r="G39" s="97">
        <v>9.5680000000000001E-2</v>
      </c>
      <c r="H39" s="97">
        <v>0.10150000000000001</v>
      </c>
      <c r="I39" s="97">
        <f t="shared" si="4"/>
        <v>1.54331785</v>
      </c>
    </row>
    <row r="40" spans="1:9" x14ac:dyDescent="0.2">
      <c r="A40" s="95">
        <v>0.47499999999999998</v>
      </c>
      <c r="B40" s="97">
        <f t="shared" si="5"/>
        <v>0.177115625</v>
      </c>
      <c r="C40" s="91" t="s">
        <v>170</v>
      </c>
      <c r="D40" s="91" t="s">
        <v>170</v>
      </c>
      <c r="E40" s="92">
        <v>0.54100000000000004</v>
      </c>
      <c r="F40" s="96">
        <f t="shared" si="3"/>
        <v>9.6468796512533858E-2</v>
      </c>
      <c r="G40" s="96">
        <v>9.3659999999999993E-2</v>
      </c>
      <c r="H40" s="96">
        <v>9.9379999999999996E-2</v>
      </c>
      <c r="I40" s="97">
        <f t="shared" si="4"/>
        <v>1.5763290624999999</v>
      </c>
    </row>
    <row r="41" spans="1:9" x14ac:dyDescent="0.2">
      <c r="A41" s="95">
        <v>0.49</v>
      </c>
      <c r="B41" s="97">
        <f t="shared" si="5"/>
        <v>0.18847849999999999</v>
      </c>
      <c r="C41" s="91"/>
      <c r="D41" s="91"/>
      <c r="E41" s="92">
        <v>0.55600000000000005</v>
      </c>
      <c r="F41" s="96">
        <f t="shared" si="3"/>
        <v>9.0652945494129333E-2</v>
      </c>
      <c r="G41" s="96">
        <v>8.8109999999999994E-2</v>
      </c>
      <c r="H41" s="96">
        <v>9.3350000000000002E-2</v>
      </c>
      <c r="I41" s="97">
        <f t="shared" si="4"/>
        <v>1.6774586499999999</v>
      </c>
    </row>
    <row r="42" spans="1:9" x14ac:dyDescent="0.2">
      <c r="A42" s="92">
        <v>0.5</v>
      </c>
      <c r="B42" s="97">
        <f t="shared" si="5"/>
        <v>0.19625000000000001</v>
      </c>
      <c r="C42" s="91">
        <v>24</v>
      </c>
      <c r="D42" s="91">
        <v>25</v>
      </c>
      <c r="E42" s="92">
        <v>0.56599999999999995</v>
      </c>
      <c r="F42" s="96">
        <f t="shared" si="3"/>
        <v>8.706308885256181E-2</v>
      </c>
      <c r="G42" s="96">
        <v>8.4620000000000001E-2</v>
      </c>
      <c r="H42" s="96">
        <v>8.9590000000000003E-2</v>
      </c>
      <c r="I42" s="97">
        <f t="shared" si="4"/>
        <v>1.7466250000000003</v>
      </c>
    </row>
    <row r="43" spans="1:9" x14ac:dyDescent="0.2">
      <c r="A43" s="92">
        <v>0.51</v>
      </c>
      <c r="B43" s="97">
        <f t="shared" si="5"/>
        <v>0.20417850000000001</v>
      </c>
      <c r="C43" s="91"/>
      <c r="D43" s="91"/>
      <c r="E43" s="92">
        <v>0.57599999999999996</v>
      </c>
      <c r="F43" s="96">
        <f t="shared" si="3"/>
        <v>8.3682323003231252E-2</v>
      </c>
      <c r="G43" s="96">
        <v>8.1079999999999999E-2</v>
      </c>
      <c r="H43" s="96">
        <v>8.6449999999999999E-2</v>
      </c>
      <c r="I43" s="97">
        <f t="shared" si="4"/>
        <v>1.8171886500000001</v>
      </c>
    </row>
    <row r="44" spans="1:9" x14ac:dyDescent="0.2">
      <c r="A44" s="95">
        <v>0.53</v>
      </c>
      <c r="B44" s="97">
        <f t="shared" si="5"/>
        <v>0.22050650000000002</v>
      </c>
      <c r="C44" s="91" t="s">
        <v>170</v>
      </c>
      <c r="D44" s="91" t="s">
        <v>170</v>
      </c>
      <c r="E44" s="92">
        <v>0.6</v>
      </c>
      <c r="F44" s="96">
        <f t="shared" si="3"/>
        <v>7.7485839135423465E-2</v>
      </c>
      <c r="G44" s="96">
        <v>7.5120000000000006E-2</v>
      </c>
      <c r="H44" s="96">
        <v>7.9949999999999993E-2</v>
      </c>
      <c r="I44" s="97">
        <f t="shared" si="4"/>
        <v>1.9625078500000004</v>
      </c>
    </row>
    <row r="45" spans="1:9" x14ac:dyDescent="0.2">
      <c r="A45" s="95">
        <v>0.55000000000000004</v>
      </c>
      <c r="B45" s="97">
        <f t="shared" si="5"/>
        <v>0.23746250000000005</v>
      </c>
      <c r="C45" s="91"/>
      <c r="D45" s="91"/>
      <c r="E45" s="92">
        <v>0.62</v>
      </c>
      <c r="F45" s="96">
        <f t="shared" si="3"/>
        <v>7.1952965993852716E-2</v>
      </c>
      <c r="G45" s="96">
        <v>6.9830000000000003E-2</v>
      </c>
      <c r="H45" s="96">
        <v>7.4200000000000002E-2</v>
      </c>
      <c r="I45" s="97">
        <f t="shared" si="4"/>
        <v>2.1134162500000002</v>
      </c>
    </row>
    <row r="46" spans="1:9" x14ac:dyDescent="0.2">
      <c r="A46" s="92">
        <v>0.56000000000000005</v>
      </c>
      <c r="B46" s="97">
        <f t="shared" si="5"/>
        <v>0.24617600000000006</v>
      </c>
      <c r="C46" s="91">
        <v>23</v>
      </c>
      <c r="D46" s="91">
        <v>24</v>
      </c>
      <c r="E46" s="92">
        <v>0.63</v>
      </c>
      <c r="F46" s="96">
        <f t="shared" si="3"/>
        <v>6.9406161393942747E-2</v>
      </c>
      <c r="G46" s="96">
        <v>6.7360000000000003E-2</v>
      </c>
      <c r="H46" s="96">
        <v>7.1529999999999996E-2</v>
      </c>
      <c r="I46" s="97">
        <f t="shared" si="4"/>
        <v>2.1909664000000006</v>
      </c>
    </row>
    <row r="47" spans="1:9" x14ac:dyDescent="0.2">
      <c r="A47" s="92">
        <v>0.56999999999999995</v>
      </c>
      <c r="B47" s="97">
        <f t="shared" si="5"/>
        <v>0.25504649999999995</v>
      </c>
      <c r="C47" s="91"/>
      <c r="D47" s="91"/>
      <c r="E47" s="92">
        <v>0.64</v>
      </c>
      <c r="F47" s="96">
        <f t="shared" si="3"/>
        <v>6.6992219800370748E-2</v>
      </c>
      <c r="G47" s="96">
        <v>6.5070000000000003E-2</v>
      </c>
      <c r="H47" s="96">
        <v>6.93E-2</v>
      </c>
      <c r="I47" s="97">
        <f t="shared" si="4"/>
        <v>2.2699138499999996</v>
      </c>
    </row>
    <row r="48" spans="1:9" x14ac:dyDescent="0.2">
      <c r="A48" s="92">
        <v>0.59</v>
      </c>
      <c r="B48" s="97">
        <f t="shared" si="5"/>
        <v>0.27325850000000002</v>
      </c>
      <c r="C48" s="91"/>
      <c r="D48" s="91"/>
      <c r="E48" s="92">
        <v>0.66400000000000003</v>
      </c>
      <c r="F48" s="96">
        <f t="shared" si="3"/>
        <v>6.2527354820857375E-2</v>
      </c>
      <c r="G48" s="96">
        <v>6.0769999999999998E-2</v>
      </c>
      <c r="H48" s="96">
        <v>6.4380000000000007E-2</v>
      </c>
      <c r="I48" s="97">
        <f t="shared" si="4"/>
        <v>2.4320006500000004</v>
      </c>
    </row>
    <row r="49" spans="1:9" x14ac:dyDescent="0.2">
      <c r="A49" s="95">
        <v>0.6</v>
      </c>
      <c r="B49" s="97">
        <f t="shared" si="5"/>
        <v>0.28259999999999996</v>
      </c>
      <c r="C49" s="91" t="s">
        <v>170</v>
      </c>
      <c r="D49" s="91" t="s">
        <v>170</v>
      </c>
      <c r="E49" s="92">
        <v>0.67400000000000004</v>
      </c>
      <c r="F49" s="96">
        <f t="shared" si="3"/>
        <v>6.0460478369834598E-2</v>
      </c>
      <c r="G49" s="96">
        <v>5.876E-2</v>
      </c>
      <c r="H49" s="96">
        <v>6.2219999999999998E-2</v>
      </c>
      <c r="I49" s="97">
        <f t="shared" si="4"/>
        <v>2.5151399999999997</v>
      </c>
    </row>
    <row r="50" spans="1:9" x14ac:dyDescent="0.2">
      <c r="A50" s="92">
        <v>0.63</v>
      </c>
      <c r="B50" s="97">
        <f t="shared" si="5"/>
        <v>0.31156650000000002</v>
      </c>
      <c r="C50" s="91">
        <v>22</v>
      </c>
      <c r="D50" s="91">
        <v>23</v>
      </c>
      <c r="E50" s="92">
        <v>0.70399999999999996</v>
      </c>
      <c r="F50" s="96">
        <f t="shared" si="3"/>
        <v>5.483943616311527E-2</v>
      </c>
      <c r="G50" s="96">
        <v>5.3350000000000002E-2</v>
      </c>
      <c r="H50" s="96">
        <v>5.638E-2</v>
      </c>
      <c r="I50" s="97">
        <f t="shared" si="4"/>
        <v>2.77294185</v>
      </c>
    </row>
    <row r="51" spans="1:9" x14ac:dyDescent="0.2">
      <c r="A51" s="92">
        <v>0.64</v>
      </c>
      <c r="B51" s="97">
        <f t="shared" si="5"/>
        <v>0.32153600000000004</v>
      </c>
      <c r="C51" s="91"/>
      <c r="D51" s="91"/>
      <c r="E51" s="92">
        <v>0.71399999999999997</v>
      </c>
      <c r="F51" s="96">
        <f t="shared" si="3"/>
        <v>5.3139092317237423E-2</v>
      </c>
      <c r="G51" s="96">
        <v>5.1569999999999998E-2</v>
      </c>
      <c r="H51" s="96">
        <v>5.4800000000000001E-2</v>
      </c>
      <c r="I51" s="97">
        <f t="shared" si="4"/>
        <v>2.8616704000000004</v>
      </c>
    </row>
    <row r="52" spans="1:9" x14ac:dyDescent="0.2">
      <c r="A52" s="95">
        <v>0.67</v>
      </c>
      <c r="B52" s="97">
        <f t="shared" si="5"/>
        <v>0.35238650000000005</v>
      </c>
      <c r="C52" s="91" t="s">
        <v>170</v>
      </c>
      <c r="D52" s="91" t="s">
        <v>170</v>
      </c>
      <c r="E52" s="92">
        <v>0.749</v>
      </c>
      <c r="F52" s="96">
        <f t="shared" si="3"/>
        <v>4.8486906244465243E-2</v>
      </c>
      <c r="G52" s="96">
        <v>4.7079999999999997E-2</v>
      </c>
      <c r="H52" s="96">
        <v>4.9939999999999998E-2</v>
      </c>
      <c r="I52" s="97">
        <f t="shared" si="4"/>
        <v>3.1362398500000008</v>
      </c>
    </row>
    <row r="53" spans="1:9" x14ac:dyDescent="0.2">
      <c r="A53" s="95">
        <v>0.69</v>
      </c>
      <c r="B53" s="97">
        <f t="shared" si="5"/>
        <v>0.37373849999999997</v>
      </c>
      <c r="C53" s="91"/>
      <c r="D53" s="91"/>
      <c r="E53" s="92">
        <v>0.76900000000000002</v>
      </c>
      <c r="F53" s="96">
        <f t="shared" si="3"/>
        <v>4.5716807841084756E-2</v>
      </c>
      <c r="G53" s="96">
        <v>4.444E-2</v>
      </c>
      <c r="H53" s="96">
        <v>4.7070000000000001E-2</v>
      </c>
      <c r="I53" s="97">
        <f t="shared" si="4"/>
        <v>3.3262726499999999</v>
      </c>
    </row>
    <row r="54" spans="1:9" x14ac:dyDescent="0.2">
      <c r="A54" s="92">
        <v>0.71</v>
      </c>
      <c r="B54" s="97">
        <f t="shared" si="5"/>
        <v>0.39571849999999997</v>
      </c>
      <c r="C54" s="91">
        <v>21</v>
      </c>
      <c r="D54" s="90">
        <v>22</v>
      </c>
      <c r="E54" s="92">
        <v>0.78900000000000003</v>
      </c>
      <c r="F54" s="96">
        <f t="shared" si="3"/>
        <v>4.3177489016346861E-2</v>
      </c>
      <c r="G54" s="96">
        <v>4.1980000000000003E-2</v>
      </c>
      <c r="H54" s="96">
        <v>4.4420000000000001E-2</v>
      </c>
      <c r="I54" s="97">
        <f t="shared" si="4"/>
        <v>3.5218946499999997</v>
      </c>
    </row>
    <row r="55" spans="1:9" x14ac:dyDescent="0.2">
      <c r="A55" s="92">
        <v>0.72</v>
      </c>
      <c r="B55" s="97">
        <f t="shared" si="5"/>
        <v>0.40694400000000003</v>
      </c>
      <c r="C55" s="91"/>
      <c r="D55" s="90"/>
      <c r="E55" s="92">
        <v>0.79900000000000004</v>
      </c>
      <c r="F55" s="96">
        <f t="shared" si="3"/>
        <v>4.198644331238513E-2</v>
      </c>
      <c r="G55" s="96">
        <v>4.0730000000000002E-2</v>
      </c>
      <c r="H55" s="96">
        <v>4.3310000000000001E-2</v>
      </c>
      <c r="I55" s="97">
        <f t="shared" si="4"/>
        <v>3.6218016000000008</v>
      </c>
    </row>
    <row r="56" spans="1:9" x14ac:dyDescent="0.2">
      <c r="A56" s="92">
        <v>0.74</v>
      </c>
      <c r="B56" s="97">
        <f t="shared" si="5"/>
        <v>0.42986599999999997</v>
      </c>
      <c r="C56" s="91"/>
      <c r="D56" s="90"/>
      <c r="E56" s="92">
        <v>0.82399999999999995</v>
      </c>
      <c r="F56" s="96">
        <f t="shared" si="3"/>
        <v>3.9747575261396009E-2</v>
      </c>
      <c r="G56" s="96">
        <v>3.8580000000000003E-2</v>
      </c>
      <c r="H56" s="96">
        <v>4.0980000000000003E-2</v>
      </c>
      <c r="I56" s="97">
        <f t="shared" si="4"/>
        <v>3.8258073999999995</v>
      </c>
    </row>
    <row r="57" spans="1:9" x14ac:dyDescent="0.2">
      <c r="A57" s="95">
        <v>0.75</v>
      </c>
      <c r="B57" s="97">
        <f t="shared" si="5"/>
        <v>0.44156249999999997</v>
      </c>
      <c r="C57" s="91" t="s">
        <v>170</v>
      </c>
      <c r="D57" s="90" t="s">
        <v>170</v>
      </c>
      <c r="E57" s="92">
        <v>0.83399999999999996</v>
      </c>
      <c r="F57" s="96">
        <f t="shared" si="3"/>
        <v>3.8694706156694139E-2</v>
      </c>
      <c r="G57" s="96">
        <v>3.7560000000000003E-2</v>
      </c>
      <c r="H57" s="96">
        <v>3.9870000000000003E-2</v>
      </c>
      <c r="I57" s="97">
        <f t="shared" si="4"/>
        <v>3.9299062499999997</v>
      </c>
    </row>
    <row r="58" spans="1:9" x14ac:dyDescent="0.2">
      <c r="A58" s="92">
        <v>0.8</v>
      </c>
      <c r="B58" s="97">
        <f t="shared" si="5"/>
        <v>0.50240000000000007</v>
      </c>
      <c r="C58" s="91">
        <v>20</v>
      </c>
      <c r="D58" s="90">
        <v>21</v>
      </c>
      <c r="E58" s="92">
        <v>0.88400000000000001</v>
      </c>
      <c r="F58" s="96">
        <f t="shared" si="3"/>
        <v>3.4009019083031951E-2</v>
      </c>
      <c r="G58" s="96">
        <v>3.3050000000000003E-2</v>
      </c>
      <c r="H58" s="96">
        <v>3.5000000000000003E-2</v>
      </c>
      <c r="I58" s="97">
        <f t="shared" si="4"/>
        <v>4.4713600000000007</v>
      </c>
    </row>
    <row r="59" spans="1:9" x14ac:dyDescent="0.2">
      <c r="A59" s="92">
        <v>0.83</v>
      </c>
      <c r="B59" s="97">
        <f t="shared" si="5"/>
        <v>0.54078649999999995</v>
      </c>
      <c r="C59" s="91"/>
      <c r="D59" s="90"/>
      <c r="E59" s="92">
        <v>0.91900000000000004</v>
      </c>
      <c r="F59" s="96">
        <f t="shared" si="3"/>
        <v>3.1594966197039415E-2</v>
      </c>
      <c r="G59" s="96">
        <v>3.0669999999999999E-2</v>
      </c>
      <c r="H59" s="96">
        <v>3.2579999999999998E-2</v>
      </c>
      <c r="I59" s="97">
        <f t="shared" si="4"/>
        <v>4.8129998499999989</v>
      </c>
    </row>
    <row r="60" spans="1:9" x14ac:dyDescent="0.2">
      <c r="A60" s="95">
        <v>0.85</v>
      </c>
      <c r="B60" s="97">
        <f t="shared" si="5"/>
        <v>0.56716250000000001</v>
      </c>
      <c r="C60" s="91" t="s">
        <v>170</v>
      </c>
      <c r="D60" s="90" t="s">
        <v>170</v>
      </c>
      <c r="E60" s="92">
        <v>0.93899999999999995</v>
      </c>
      <c r="F60" s="96">
        <f t="shared" si="3"/>
        <v>3.0125636281163253E-2</v>
      </c>
      <c r="G60" s="96">
        <v>2.9250000000000002E-2</v>
      </c>
      <c r="H60" s="96">
        <v>3.1040000000000002E-2</v>
      </c>
      <c r="I60" s="97">
        <f t="shared" si="4"/>
        <v>5.0477462500000003</v>
      </c>
    </row>
    <row r="61" spans="1:9" x14ac:dyDescent="0.2">
      <c r="A61" s="92">
        <v>0.9</v>
      </c>
      <c r="B61" s="97">
        <f t="shared" si="5"/>
        <v>0.63585000000000003</v>
      </c>
      <c r="C61" s="91">
        <v>19</v>
      </c>
      <c r="D61" s="90">
        <v>20</v>
      </c>
      <c r="E61" s="92">
        <v>0.98899999999999999</v>
      </c>
      <c r="F61" s="96">
        <f t="shared" si="3"/>
        <v>2.6871323719926482E-2</v>
      </c>
      <c r="G61" s="96">
        <v>2.6120000000000001E-2</v>
      </c>
      <c r="H61" s="96">
        <v>2.7650000000000001E-2</v>
      </c>
      <c r="I61" s="97">
        <f t="shared" si="4"/>
        <v>5.6590650000000009</v>
      </c>
    </row>
    <row r="62" spans="1:9" x14ac:dyDescent="0.2">
      <c r="A62" s="92">
        <v>0.93</v>
      </c>
      <c r="B62" s="97">
        <f t="shared" si="5"/>
        <v>0.67894650000000012</v>
      </c>
      <c r="C62" s="91"/>
      <c r="D62" s="90"/>
      <c r="E62" s="92">
        <v>1.024</v>
      </c>
      <c r="F62" s="96">
        <f t="shared" si="3"/>
        <v>2.5165651766840616E-2</v>
      </c>
      <c r="G62" s="96">
        <v>2.443E-2</v>
      </c>
      <c r="H62" s="96">
        <v>2.5940000000000001E-2</v>
      </c>
      <c r="I62" s="97">
        <f t="shared" si="4"/>
        <v>6.0426238500000018</v>
      </c>
    </row>
    <row r="63" spans="1:9" x14ac:dyDescent="0.2">
      <c r="A63" s="95">
        <v>0.95</v>
      </c>
      <c r="B63" s="97">
        <f t="shared" si="5"/>
        <v>0.7084625</v>
      </c>
      <c r="C63" s="91" t="s">
        <v>170</v>
      </c>
      <c r="D63" s="90" t="s">
        <v>170</v>
      </c>
      <c r="E63" s="92">
        <v>1.044</v>
      </c>
      <c r="F63" s="96">
        <f t="shared" si="3"/>
        <v>2.4117199128133465E-2</v>
      </c>
      <c r="G63" s="96">
        <v>2.342E-2</v>
      </c>
      <c r="H63" s="96">
        <v>2.4840000000000001E-2</v>
      </c>
      <c r="I63" s="97">
        <f t="shared" si="4"/>
        <v>6.3053162499999997</v>
      </c>
    </row>
    <row r="64" spans="1:9" x14ac:dyDescent="0.2">
      <c r="A64" s="92">
        <v>1</v>
      </c>
      <c r="B64" s="97">
        <f t="shared" si="5"/>
        <v>0.78500000000000003</v>
      </c>
      <c r="C64" s="91">
        <v>18</v>
      </c>
      <c r="D64" s="90">
        <v>19</v>
      </c>
      <c r="E64" s="92">
        <v>1.0940000000000001</v>
      </c>
      <c r="F64" s="96">
        <f t="shared" si="3"/>
        <v>2.1765772213140452E-2</v>
      </c>
      <c r="G64" s="96">
        <v>2.1160000000000002E-2</v>
      </c>
      <c r="H64" s="96">
        <v>2.24E-2</v>
      </c>
      <c r="I64" s="97">
        <f t="shared" si="4"/>
        <v>6.9865000000000013</v>
      </c>
    </row>
    <row r="65" spans="1:9" x14ac:dyDescent="0.2">
      <c r="A65" s="92">
        <v>1.04</v>
      </c>
      <c r="B65" s="97">
        <f t="shared" si="5"/>
        <v>0.84905600000000003</v>
      </c>
      <c r="C65" s="91"/>
      <c r="D65" s="90"/>
      <c r="E65" s="92">
        <v>1.137</v>
      </c>
      <c r="F65" s="96">
        <f t="shared" si="3"/>
        <v>2.0123679930788139E-2</v>
      </c>
      <c r="G65" s="96">
        <v>1.9550000000000001E-2</v>
      </c>
      <c r="H65" s="96">
        <v>2.0740000000000001E-2</v>
      </c>
      <c r="I65" s="97">
        <f t="shared" si="4"/>
        <v>7.5565984000000013</v>
      </c>
    </row>
    <row r="66" spans="1:9" x14ac:dyDescent="0.2">
      <c r="A66" s="92">
        <v>1.05</v>
      </c>
      <c r="B66" s="97">
        <f t="shared" si="5"/>
        <v>0.86546250000000002</v>
      </c>
      <c r="C66" s="91"/>
      <c r="D66" s="90"/>
      <c r="E66" s="92">
        <v>0.14799999999999999</v>
      </c>
      <c r="F66" s="96">
        <f t="shared" si="3"/>
        <v>1.9742197018721496E-2</v>
      </c>
      <c r="G66" s="96">
        <v>0.92200000000000004</v>
      </c>
      <c r="H66" s="96">
        <v>1.016</v>
      </c>
      <c r="I66" s="97">
        <f t="shared" si="4"/>
        <v>7.7026162500000011</v>
      </c>
    </row>
    <row r="67" spans="1:9" x14ac:dyDescent="0.2">
      <c r="A67" s="95">
        <v>1.06</v>
      </c>
      <c r="B67" s="97">
        <f t="shared" si="5"/>
        <v>0.88202600000000009</v>
      </c>
      <c r="C67" s="91" t="s">
        <v>170</v>
      </c>
      <c r="D67" s="90" t="s">
        <v>170</v>
      </c>
      <c r="E67" s="92">
        <v>1.157</v>
      </c>
      <c r="F67" s="96">
        <f t="shared" ref="F67:F84" si="6">1/58.527/B67</f>
        <v>1.9371459783855866E-2</v>
      </c>
      <c r="G67" s="93">
        <f>1/59/B67</f>
        <v>1.9216159775758173E-2</v>
      </c>
      <c r="H67" s="93">
        <f>1/58/B67</f>
        <v>1.9547472875340213E-2</v>
      </c>
      <c r="I67" s="97">
        <f t="shared" ref="I67:I84" si="7">B67/100*100000*8.9/1000</f>
        <v>7.8500314000000015</v>
      </c>
    </row>
    <row r="68" spans="1:9" x14ac:dyDescent="0.2">
      <c r="A68" s="92">
        <v>1.1200000000000001</v>
      </c>
      <c r="B68" s="97">
        <f t="shared" si="5"/>
        <v>0.98470400000000025</v>
      </c>
      <c r="C68" s="91">
        <v>17</v>
      </c>
      <c r="D68" s="90">
        <v>18</v>
      </c>
      <c r="E68" s="92">
        <v>1.2170000000000001</v>
      </c>
      <c r="F68" s="96">
        <f t="shared" si="6"/>
        <v>1.7351540348485687E-2</v>
      </c>
      <c r="G68" s="93">
        <f>1/59/B68</f>
        <v>1.7212433931793593E-2</v>
      </c>
      <c r="H68" s="93">
        <f>1/58/B68</f>
        <v>1.7509200034065895E-2</v>
      </c>
      <c r="I68" s="97">
        <f t="shared" si="7"/>
        <v>8.7638656000000026</v>
      </c>
    </row>
    <row r="69" spans="1:9" x14ac:dyDescent="0.2">
      <c r="A69" s="95">
        <v>1.18</v>
      </c>
      <c r="B69" s="92">
        <f t="shared" si="5"/>
        <v>1.0930340000000001</v>
      </c>
      <c r="C69" s="91" t="s">
        <v>170</v>
      </c>
      <c r="D69" s="90" t="s">
        <v>170</v>
      </c>
      <c r="E69" s="92">
        <v>1.2789999999999999</v>
      </c>
      <c r="F69" s="96">
        <f t="shared" si="6"/>
        <v>1.5631838705214344E-2</v>
      </c>
      <c r="G69" s="93">
        <f>1/59/B69</f>
        <v>1.5506519049153896E-2</v>
      </c>
      <c r="H69" s="93">
        <f>1/58/B69</f>
        <v>1.5773872825863445E-2</v>
      </c>
      <c r="I69" s="97">
        <f t="shared" si="7"/>
        <v>9.7280026000000017</v>
      </c>
    </row>
    <row r="70" spans="1:9" x14ac:dyDescent="0.2">
      <c r="A70" s="92">
        <v>1.25</v>
      </c>
      <c r="B70" s="92">
        <f t="shared" ref="B70:B84" si="8">3.14*A70*A70/4</f>
        <v>1.2265625</v>
      </c>
      <c r="C70" s="91">
        <v>16</v>
      </c>
      <c r="D70" s="90" t="s">
        <v>170</v>
      </c>
      <c r="E70" s="92">
        <v>1.349</v>
      </c>
      <c r="F70" s="96">
        <f t="shared" si="6"/>
        <v>1.3930094216409889E-2</v>
      </c>
      <c r="G70" s="93">
        <f>1/59/B70</f>
        <v>1.3818417359386808E-2</v>
      </c>
      <c r="H70" s="93">
        <f>1/58/B70</f>
        <v>1.405666593454865E-2</v>
      </c>
      <c r="I70" s="92">
        <f t="shared" si="7"/>
        <v>10.91640625</v>
      </c>
    </row>
    <row r="71" spans="1:9" x14ac:dyDescent="0.2">
      <c r="A71" s="92">
        <v>1.3</v>
      </c>
      <c r="B71" s="92">
        <f t="shared" si="8"/>
        <v>1.3266500000000003</v>
      </c>
      <c r="C71" s="91"/>
      <c r="D71" s="90"/>
      <c r="E71" s="92">
        <v>1.4019999999999999</v>
      </c>
      <c r="F71" s="96">
        <f t="shared" si="6"/>
        <v>1.2879155155704406E-2</v>
      </c>
      <c r="G71" s="93">
        <v>1.252E-2</v>
      </c>
      <c r="H71" s="93">
        <v>1.3259999999999999E-2</v>
      </c>
      <c r="I71" s="92">
        <f t="shared" si="7"/>
        <v>11.807185000000002</v>
      </c>
    </row>
    <row r="72" spans="1:9" x14ac:dyDescent="0.2">
      <c r="A72" s="95">
        <v>1.32</v>
      </c>
      <c r="B72" s="92">
        <f t="shared" si="8"/>
        <v>1.3677840000000001</v>
      </c>
      <c r="C72" s="91" t="s">
        <v>170</v>
      </c>
      <c r="D72" s="90" t="s">
        <v>170</v>
      </c>
      <c r="E72" s="92">
        <v>1.4219999999999999</v>
      </c>
      <c r="F72" s="96">
        <f t="shared" si="6"/>
        <v>1.2491834373932765E-2</v>
      </c>
      <c r="G72" s="93">
        <f>1/59/B72</f>
        <v>1.2391687972934965E-2</v>
      </c>
      <c r="H72" s="93">
        <f>1/58/B72</f>
        <v>1.2605337765571776E-2</v>
      </c>
      <c r="I72" s="92">
        <f t="shared" si="7"/>
        <v>12.1732776</v>
      </c>
    </row>
    <row r="73" spans="1:9" x14ac:dyDescent="0.2">
      <c r="A73" s="92">
        <v>1.4</v>
      </c>
      <c r="B73" s="92">
        <f t="shared" si="8"/>
        <v>1.5386</v>
      </c>
      <c r="C73" s="91">
        <v>15</v>
      </c>
      <c r="D73" s="90">
        <v>17</v>
      </c>
      <c r="E73" s="92">
        <v>1.502</v>
      </c>
      <c r="F73" s="96">
        <f t="shared" si="6"/>
        <v>1.1104985823030843E-2</v>
      </c>
      <c r="G73" s="93">
        <f>1/59/B73</f>
        <v>1.1015957716347901E-2</v>
      </c>
      <c r="H73" s="93">
        <f>1/58/B73</f>
        <v>1.1205888021802175E-2</v>
      </c>
      <c r="I73" s="92">
        <f t="shared" si="7"/>
        <v>13.69354</v>
      </c>
    </row>
    <row r="74" spans="1:9" x14ac:dyDescent="0.2">
      <c r="A74" s="95">
        <v>1.5</v>
      </c>
      <c r="B74" s="92">
        <f t="shared" si="8"/>
        <v>1.7662499999999999</v>
      </c>
      <c r="C74" s="91" t="s">
        <v>170</v>
      </c>
      <c r="D74" s="90" t="s">
        <v>170</v>
      </c>
      <c r="E74" s="92">
        <v>1.6060000000000001</v>
      </c>
      <c r="F74" s="94">
        <f t="shared" si="6"/>
        <v>9.6736765391735348E-3</v>
      </c>
      <c r="G74" s="93">
        <f>1/59/B74</f>
        <v>9.5961231662408386E-3</v>
      </c>
      <c r="H74" s="93">
        <f>1/58/B74</f>
        <v>9.7615735656587845E-3</v>
      </c>
      <c r="I74" s="92">
        <f t="shared" si="7"/>
        <v>15.719624999999999</v>
      </c>
    </row>
    <row r="75" spans="1:9" x14ac:dyDescent="0.2">
      <c r="A75" s="92">
        <v>1.6</v>
      </c>
      <c r="B75" s="92">
        <f t="shared" si="8"/>
        <v>2.0096000000000003</v>
      </c>
      <c r="C75" s="91">
        <v>14</v>
      </c>
      <c r="D75" s="90">
        <v>16</v>
      </c>
      <c r="E75" s="92">
        <v>1.706</v>
      </c>
      <c r="F75" s="94">
        <f t="shared" si="6"/>
        <v>8.5022547707579877E-3</v>
      </c>
      <c r="G75" s="93">
        <f>1/59/B75</f>
        <v>8.4340926265788606E-3</v>
      </c>
      <c r="H75" s="93">
        <f>1/58/B75</f>
        <v>8.5795080166922895E-3</v>
      </c>
      <c r="I75" s="92">
        <f t="shared" si="7"/>
        <v>17.885440000000003</v>
      </c>
    </row>
    <row r="76" spans="1:9" x14ac:dyDescent="0.2">
      <c r="A76" s="95">
        <v>1.7</v>
      </c>
      <c r="B76" s="92">
        <f t="shared" si="8"/>
        <v>2.2686500000000001</v>
      </c>
      <c r="C76" s="91" t="s">
        <v>170</v>
      </c>
      <c r="D76" s="90" t="s">
        <v>170</v>
      </c>
      <c r="E76" s="92">
        <v>1.8089999999999999</v>
      </c>
      <c r="F76" s="94">
        <f t="shared" si="6"/>
        <v>7.5314090702908133E-3</v>
      </c>
      <c r="G76" s="93">
        <f>1/59/B76</f>
        <v>7.4710301467272961E-3</v>
      </c>
      <c r="H76" s="93">
        <f>1/58/B76</f>
        <v>7.5998410113260429E-3</v>
      </c>
      <c r="I76" s="92">
        <f t="shared" si="7"/>
        <v>20.190985000000001</v>
      </c>
    </row>
    <row r="77" spans="1:9" x14ac:dyDescent="0.2">
      <c r="A77" s="95">
        <v>1.74</v>
      </c>
      <c r="B77" s="92">
        <f t="shared" si="8"/>
        <v>2.3766660000000002</v>
      </c>
      <c r="C77" s="91"/>
      <c r="D77" s="90"/>
      <c r="E77" s="92">
        <v>1.849</v>
      </c>
      <c r="F77" s="94">
        <f t="shared" si="6"/>
        <v>7.1891175231670133E-3</v>
      </c>
      <c r="G77" s="93">
        <v>6.9849999999999999E-3</v>
      </c>
      <c r="H77" s="93">
        <v>7.4060000000000003E-3</v>
      </c>
      <c r="I77" s="92">
        <f t="shared" si="7"/>
        <v>21.152327400000001</v>
      </c>
    </row>
    <row r="78" spans="1:9" x14ac:dyDescent="0.2">
      <c r="A78" s="92">
        <v>1.8</v>
      </c>
      <c r="B78" s="92">
        <f t="shared" si="8"/>
        <v>2.5434000000000001</v>
      </c>
      <c r="C78" s="91">
        <v>13</v>
      </c>
      <c r="D78" s="90">
        <v>15</v>
      </c>
      <c r="E78" s="92">
        <v>1.909</v>
      </c>
      <c r="F78" s="94">
        <f t="shared" si="6"/>
        <v>6.7178309299816205E-3</v>
      </c>
      <c r="G78" s="93">
        <f t="shared" ref="G78:G84" si="9">1/59/B78</f>
        <v>6.6639744210005821E-3</v>
      </c>
      <c r="H78" s="93">
        <f t="shared" ref="H78:H84" si="10">1/58/B78</f>
        <v>6.778870531707489E-3</v>
      </c>
      <c r="I78" s="92">
        <f t="shared" si="7"/>
        <v>22.636260000000004</v>
      </c>
    </row>
    <row r="79" spans="1:9" x14ac:dyDescent="0.2">
      <c r="A79" s="95">
        <v>1.9</v>
      </c>
      <c r="B79" s="92">
        <f t="shared" si="8"/>
        <v>2.83385</v>
      </c>
      <c r="C79" s="91" t="s">
        <v>170</v>
      </c>
      <c r="D79" s="90" t="s">
        <v>170</v>
      </c>
      <c r="E79" s="92">
        <v>2.012</v>
      </c>
      <c r="F79" s="94">
        <f t="shared" si="6"/>
        <v>6.0292997820333661E-3</v>
      </c>
      <c r="G79" s="93">
        <f t="shared" si="9"/>
        <v>5.9809631922553702E-3</v>
      </c>
      <c r="H79" s="93">
        <f t="shared" si="10"/>
        <v>6.0840832472942559E-3</v>
      </c>
      <c r="I79" s="92">
        <f t="shared" si="7"/>
        <v>25.221264999999999</v>
      </c>
    </row>
    <row r="80" spans="1:9" x14ac:dyDescent="0.2">
      <c r="A80" s="92">
        <v>2</v>
      </c>
      <c r="B80" s="92">
        <f t="shared" si="8"/>
        <v>3.14</v>
      </c>
      <c r="C80" s="91">
        <v>12</v>
      </c>
      <c r="D80" s="90">
        <v>14</v>
      </c>
      <c r="E80" s="92">
        <v>2.1120000000000001</v>
      </c>
      <c r="F80" s="94">
        <f t="shared" si="6"/>
        <v>5.4414430532851131E-3</v>
      </c>
      <c r="G80" s="93">
        <f t="shared" si="9"/>
        <v>5.3978192810104717E-3</v>
      </c>
      <c r="H80" s="93">
        <f t="shared" si="10"/>
        <v>5.490885130683066E-3</v>
      </c>
      <c r="I80" s="92">
        <f t="shared" si="7"/>
        <v>27.946000000000005</v>
      </c>
    </row>
    <row r="81" spans="1:9" x14ac:dyDescent="0.2">
      <c r="A81" s="95">
        <v>2.12</v>
      </c>
      <c r="B81" s="92">
        <f t="shared" si="8"/>
        <v>3.5281040000000004</v>
      </c>
      <c r="C81" s="91" t="s">
        <v>170</v>
      </c>
      <c r="D81" s="90" t="s">
        <v>170</v>
      </c>
      <c r="E81" s="92">
        <v>2.2349999999999999</v>
      </c>
      <c r="F81" s="94">
        <f t="shared" si="6"/>
        <v>4.8428649459639666E-3</v>
      </c>
      <c r="G81" s="93">
        <f t="shared" si="9"/>
        <v>4.8040399439395432E-3</v>
      </c>
      <c r="H81" s="93">
        <f t="shared" si="10"/>
        <v>4.8868682188350533E-3</v>
      </c>
      <c r="I81" s="92">
        <f t="shared" si="7"/>
        <v>31.400125600000006</v>
      </c>
    </row>
    <row r="82" spans="1:9" x14ac:dyDescent="0.2">
      <c r="A82" s="92">
        <v>2.2400000000000002</v>
      </c>
      <c r="B82" s="92">
        <f t="shared" si="8"/>
        <v>3.938816000000001</v>
      </c>
      <c r="C82" s="91">
        <v>11</v>
      </c>
      <c r="D82" s="90">
        <v>13</v>
      </c>
      <c r="E82" s="92">
        <v>2.355</v>
      </c>
      <c r="F82" s="94">
        <f t="shared" si="6"/>
        <v>4.3378850871214217E-3</v>
      </c>
      <c r="G82" s="93">
        <f t="shared" si="9"/>
        <v>4.3031084829483982E-3</v>
      </c>
      <c r="H82" s="93">
        <f t="shared" si="10"/>
        <v>4.3773000085164738E-3</v>
      </c>
      <c r="I82" s="92">
        <f t="shared" si="7"/>
        <v>35.05546240000001</v>
      </c>
    </row>
    <row r="83" spans="1:9" x14ac:dyDescent="0.2">
      <c r="A83" s="95">
        <v>2.36</v>
      </c>
      <c r="B83" s="92">
        <f t="shared" si="8"/>
        <v>4.3721360000000002</v>
      </c>
      <c r="C83" s="91" t="s">
        <v>170</v>
      </c>
      <c r="D83" s="90" t="s">
        <v>170</v>
      </c>
      <c r="E83" s="92">
        <v>2.4780000000000002</v>
      </c>
      <c r="F83" s="94">
        <f t="shared" si="6"/>
        <v>3.907959676303586E-3</v>
      </c>
      <c r="G83" s="93">
        <f t="shared" si="9"/>
        <v>3.876629762288474E-3</v>
      </c>
      <c r="H83" s="93">
        <f t="shared" si="10"/>
        <v>3.9434682064658612E-3</v>
      </c>
      <c r="I83" s="92">
        <f t="shared" si="7"/>
        <v>38.912010400000007</v>
      </c>
    </row>
    <row r="84" spans="1:9" x14ac:dyDescent="0.2">
      <c r="A84" s="92">
        <v>2.5</v>
      </c>
      <c r="B84" s="92">
        <f t="shared" si="8"/>
        <v>4.90625</v>
      </c>
      <c r="C84" s="91">
        <v>10</v>
      </c>
      <c r="D84" s="90">
        <v>12</v>
      </c>
      <c r="E84" s="92">
        <v>2.6179999999999999</v>
      </c>
      <c r="F84" s="94">
        <f t="shared" si="6"/>
        <v>3.4825235541024722E-3</v>
      </c>
      <c r="G84" s="93">
        <f t="shared" si="9"/>
        <v>3.454604339846702E-3</v>
      </c>
      <c r="H84" s="93">
        <f t="shared" si="10"/>
        <v>3.5141664836371624E-3</v>
      </c>
      <c r="I84" s="92">
        <f t="shared" si="7"/>
        <v>43.665624999999999</v>
      </c>
    </row>
    <row r="85" spans="1:9" ht="14.25" x14ac:dyDescent="0.2">
      <c r="A85" s="89"/>
      <c r="B85" s="89"/>
      <c r="C85" s="91"/>
      <c r="D85" s="90"/>
      <c r="E85" s="89"/>
      <c r="F85" s="89"/>
      <c r="G85" s="89"/>
      <c r="H85" s="89"/>
      <c r="I85" s="89"/>
    </row>
    <row r="86" spans="1:9" ht="14.25" x14ac:dyDescent="0.2">
      <c r="A86" s="89"/>
      <c r="B86" s="89"/>
      <c r="C86" s="91"/>
      <c r="D86" s="90"/>
      <c r="E86" s="89"/>
      <c r="F86" s="89"/>
      <c r="G86" s="89"/>
      <c r="H86" s="89"/>
      <c r="I86" s="89"/>
    </row>
  </sheetData>
  <sheetProtection password="CB53" sheet="1"/>
  <mergeCells count="1">
    <mergeCell ref="F1:H1"/>
  </mergeCells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10</vt:i4>
      </vt:variant>
    </vt:vector>
  </HeadingPairs>
  <TitlesOfParts>
    <vt:vector size="13" baseType="lpstr">
      <vt:lpstr>变压器设计</vt:lpstr>
      <vt:lpstr>常用变压器磁芯</vt:lpstr>
      <vt:lpstr>漆包线常用规格</vt:lpstr>
      <vt:lpstr>Fswmax</vt:lpstr>
      <vt:lpstr>integral</vt:lpstr>
      <vt:lpstr>Iout</vt:lpstr>
      <vt:lpstr>Iprms</vt:lpstr>
      <vt:lpstr>L</vt:lpstr>
      <vt:lpstr>Lreal</vt:lpstr>
      <vt:lpstr>变压器设计!Print_Area</vt:lpstr>
      <vt:lpstr>Vacmin</vt:lpstr>
      <vt:lpstr>Vdf</vt:lpstr>
      <vt:lpstr>Vout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2019-04-04T06:11:53Z</dcterms:modified>
</cp:coreProperties>
</file>