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3995" windowHeight="123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71" i="1" l="1"/>
  <c r="B154" i="1" l="1"/>
  <c r="B152" i="1"/>
  <c r="B19" i="1"/>
  <c r="B32" i="1" l="1"/>
  <c r="B132" i="1"/>
  <c r="B143" i="1" s="1"/>
  <c r="B121" i="1"/>
  <c r="B89" i="1"/>
  <c r="B98" i="1" s="1"/>
  <c r="M65" i="1"/>
  <c r="K65" i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J64" i="1"/>
  <c r="H65" i="1"/>
  <c r="F65" i="1"/>
  <c r="F66" i="1" s="1"/>
  <c r="E64" i="1"/>
  <c r="B73" i="1"/>
  <c r="B65" i="1"/>
  <c r="B79" i="1" s="1"/>
  <c r="B64" i="1"/>
  <c r="B69" i="1" s="1"/>
  <c r="H43" i="1"/>
  <c r="F43" i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B28" i="1"/>
  <c r="B30" i="1" s="1"/>
  <c r="C9" i="1"/>
  <c r="C8" i="1"/>
  <c r="B7" i="1"/>
  <c r="B25" i="1" s="1"/>
  <c r="E65" i="1" l="1"/>
  <c r="H66" i="1"/>
  <c r="H67" i="1" s="1"/>
  <c r="H68" i="1" s="1"/>
  <c r="J65" i="1"/>
  <c r="M66" i="1"/>
  <c r="J66" i="1" s="1"/>
  <c r="B101" i="1"/>
  <c r="B100" i="1"/>
  <c r="B139" i="1" s="1"/>
  <c r="B140" i="1" s="1"/>
  <c r="B77" i="1"/>
  <c r="B78" i="1"/>
  <c r="F67" i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E66" i="1" l="1"/>
  <c r="M67" i="1"/>
  <c r="M68" i="1" s="1"/>
  <c r="E67" i="1"/>
  <c r="B85" i="1"/>
  <c r="B129" i="1" s="1"/>
  <c r="B83" i="1"/>
  <c r="H69" i="1"/>
  <c r="E68" i="1"/>
  <c r="J67" i="1" l="1"/>
  <c r="B112" i="1"/>
  <c r="B118" i="1" s="1"/>
  <c r="B123" i="1"/>
  <c r="B91" i="1"/>
  <c r="B93" i="1" s="1"/>
  <c r="J68" i="1"/>
  <c r="M69" i="1"/>
  <c r="H70" i="1"/>
  <c r="E69" i="1"/>
  <c r="B136" i="1" l="1"/>
  <c r="B148" i="1"/>
  <c r="B149" i="1" s="1"/>
  <c r="J69" i="1"/>
  <c r="M70" i="1"/>
  <c r="H71" i="1"/>
  <c r="E70" i="1"/>
  <c r="E42" i="1"/>
  <c r="B137" i="1" l="1"/>
  <c r="B150" i="1"/>
  <c r="J70" i="1"/>
  <c r="M71" i="1"/>
  <c r="E71" i="1"/>
  <c r="H72" i="1"/>
  <c r="H44" i="1"/>
  <c r="E43" i="1"/>
  <c r="J71" i="1" l="1"/>
  <c r="M72" i="1"/>
  <c r="H73" i="1"/>
  <c r="E72" i="1"/>
  <c r="E44" i="1"/>
  <c r="H45" i="1"/>
  <c r="J72" i="1" l="1"/>
  <c r="M73" i="1"/>
  <c r="H74" i="1"/>
  <c r="E73" i="1"/>
  <c r="E45" i="1"/>
  <c r="H46" i="1"/>
  <c r="J73" i="1" l="1"/>
  <c r="M74" i="1"/>
  <c r="H75" i="1"/>
  <c r="E74" i="1"/>
  <c r="E46" i="1"/>
  <c r="H47" i="1"/>
  <c r="J74" i="1" l="1"/>
  <c r="M75" i="1"/>
  <c r="E75" i="1"/>
  <c r="H76" i="1"/>
  <c r="E47" i="1"/>
  <c r="H48" i="1"/>
  <c r="J75" i="1" l="1"/>
  <c r="M76" i="1"/>
  <c r="H77" i="1"/>
  <c r="E76" i="1"/>
  <c r="E48" i="1"/>
  <c r="H49" i="1"/>
  <c r="J76" i="1" l="1"/>
  <c r="M77" i="1"/>
  <c r="H78" i="1"/>
  <c r="E77" i="1"/>
  <c r="E49" i="1"/>
  <c r="H50" i="1"/>
  <c r="J77" i="1" l="1"/>
  <c r="M78" i="1"/>
  <c r="H79" i="1"/>
  <c r="E78" i="1"/>
  <c r="E50" i="1"/>
  <c r="H51" i="1"/>
  <c r="J78" i="1" l="1"/>
  <c r="M79" i="1"/>
  <c r="E79" i="1"/>
  <c r="H80" i="1"/>
  <c r="E51" i="1"/>
  <c r="H52" i="1"/>
  <c r="J79" i="1" l="1"/>
  <c r="M80" i="1"/>
  <c r="H81" i="1"/>
  <c r="E80" i="1"/>
  <c r="H53" i="1"/>
  <c r="E52" i="1"/>
  <c r="J80" i="1" l="1"/>
  <c r="M81" i="1"/>
  <c r="H82" i="1"/>
  <c r="E81" i="1"/>
  <c r="H54" i="1"/>
  <c r="E53" i="1"/>
  <c r="J81" i="1" l="1"/>
  <c r="M82" i="1"/>
  <c r="H83" i="1"/>
  <c r="E83" i="1" s="1"/>
  <c r="E82" i="1"/>
  <c r="H55" i="1"/>
  <c r="E54" i="1"/>
  <c r="J82" i="1" l="1"/>
  <c r="M83" i="1"/>
  <c r="J83" i="1" s="1"/>
  <c r="H56" i="1"/>
  <c r="E55" i="1"/>
  <c r="H57" i="1" l="1"/>
  <c r="E56" i="1"/>
  <c r="H58" i="1" l="1"/>
  <c r="E57" i="1"/>
  <c r="H59" i="1" l="1"/>
  <c r="E58" i="1"/>
  <c r="H60" i="1" l="1"/>
  <c r="E59" i="1"/>
  <c r="H61" i="1" l="1"/>
  <c r="E61" i="1" s="1"/>
  <c r="E60" i="1"/>
</calcChain>
</file>

<file path=xl/sharedStrings.xml><?xml version="1.0" encoding="utf-8"?>
<sst xmlns="http://schemas.openxmlformats.org/spreadsheetml/2006/main" count="144" uniqueCount="120">
  <si>
    <t>技术指标</t>
    <phoneticPr fontId="2" type="noConversion"/>
  </si>
  <si>
    <t>输入电压最小值Vin_min(V)</t>
    <phoneticPr fontId="2" type="noConversion"/>
  </si>
  <si>
    <t>输入电压最大值Vin_max(V)</t>
    <phoneticPr fontId="2" type="noConversion"/>
  </si>
  <si>
    <t>输入电压额定值Vin_nor(V)</t>
    <phoneticPr fontId="2" type="noConversion"/>
  </si>
  <si>
    <t>输出电压Vout(V)</t>
    <phoneticPr fontId="2" type="noConversion"/>
  </si>
  <si>
    <t>输出电流Iout(A)</t>
    <phoneticPr fontId="2" type="noConversion"/>
  </si>
  <si>
    <t>电压调整率(%)@Io=1A</t>
    <phoneticPr fontId="2" type="noConversion"/>
  </si>
  <si>
    <t>负载调整率(%)@Vin=390V</t>
    <phoneticPr fontId="2" type="noConversion"/>
  </si>
  <si>
    <t>输出电压纹波峰峰值(mV)</t>
    <phoneticPr fontId="2" type="noConversion"/>
  </si>
  <si>
    <t>最小开关频率(kHz)</t>
    <phoneticPr fontId="2" type="noConversion"/>
  </si>
  <si>
    <t>最大开关频率(kHz)</t>
    <phoneticPr fontId="2" type="noConversion"/>
  </si>
  <si>
    <t>计算出的参数</t>
    <phoneticPr fontId="2" type="noConversion"/>
  </si>
  <si>
    <t>填入的参数</t>
    <phoneticPr fontId="2" type="noConversion"/>
  </si>
  <si>
    <t>在第一最佳工作点匝比n</t>
    <phoneticPr fontId="2" type="noConversion"/>
  </si>
  <si>
    <t>步骤1：设计 变压器匝比</t>
    <phoneticPr fontId="2" type="noConversion"/>
  </si>
  <si>
    <t>n=M*(Vin/2)/Vout,M=1,Vin=Vin_nor</t>
    <phoneticPr fontId="2" type="noConversion"/>
  </si>
  <si>
    <t>步骤2：确定增益范围</t>
    <phoneticPr fontId="2" type="noConversion"/>
  </si>
  <si>
    <t>此时等效输出电阻的压降</t>
    <phoneticPr fontId="2" type="noConversion"/>
  </si>
  <si>
    <t>考虑整流二极管Vf=0.7V和1%负载调整率的影响。若效率为92%，则LLC等效输出电阻消耗了8%功率</t>
    <phoneticPr fontId="2" type="noConversion"/>
  </si>
  <si>
    <t>额定输出功率Po(W)</t>
    <phoneticPr fontId="2" type="noConversion"/>
  </si>
  <si>
    <t>效率η</t>
    <phoneticPr fontId="2" type="noConversion"/>
  </si>
  <si>
    <t>取值</t>
    <phoneticPr fontId="2" type="noConversion"/>
  </si>
  <si>
    <t>基于上述考虑，修改最大增益公式</t>
    <phoneticPr fontId="2" type="noConversion"/>
  </si>
  <si>
    <t>Mmax=n*(Vomax+Vf+Vloss)/(Vin_min/2)</t>
    <phoneticPr fontId="2" type="noConversion"/>
  </si>
  <si>
    <t>输出整流管压降Vf(V)</t>
    <phoneticPr fontId="2" type="noConversion"/>
  </si>
  <si>
    <t>考虑在110%过载下仍能工作，则</t>
    <phoneticPr fontId="2" type="noConversion"/>
  </si>
  <si>
    <t>Mmax * 110%</t>
    <phoneticPr fontId="2" type="noConversion"/>
  </si>
  <si>
    <r>
      <t>V</t>
    </r>
    <r>
      <rPr>
        <b/>
        <vertAlign val="subscript"/>
        <sz val="11"/>
        <color theme="1"/>
        <rFont val="宋体"/>
        <family val="3"/>
        <charset val="134"/>
        <scheme val="minor"/>
      </rPr>
      <t>loss</t>
    </r>
    <r>
      <rPr>
        <b/>
        <sz val="11"/>
        <color theme="1"/>
        <rFont val="宋体"/>
        <family val="2"/>
        <charset val="134"/>
        <scheme val="minor"/>
      </rPr>
      <t>=(Po/</t>
    </r>
    <r>
      <rPr>
        <b/>
        <sz val="11"/>
        <color theme="1"/>
        <rFont val="Segoe UI"/>
        <family val="2"/>
      </rPr>
      <t>η</t>
    </r>
    <r>
      <rPr>
        <b/>
        <sz val="11"/>
        <color theme="1"/>
        <rFont val="宋体"/>
        <family val="2"/>
        <charset val="134"/>
      </rPr>
      <t>)*(1-η)/Iout</t>
    </r>
    <phoneticPr fontId="2" type="noConversion"/>
  </si>
  <si>
    <t>同理计算最小直流增益</t>
    <phoneticPr fontId="2" type="noConversion"/>
  </si>
  <si>
    <t>Min = n*(Vomin+Vf)/(Vin_max/2)</t>
    <phoneticPr fontId="2" type="noConversion"/>
  </si>
  <si>
    <t>步骤3：选择Ln和Q</t>
    <phoneticPr fontId="2" type="noConversion"/>
  </si>
  <si>
    <t>原则</t>
    <phoneticPr fontId="2" type="noConversion"/>
  </si>
  <si>
    <t>1）Mmax的工作点位于并联谐振频率附近，使系统在最低输入电压工况效率最高；</t>
    <phoneticPr fontId="2" type="noConversion"/>
  </si>
  <si>
    <t>2）Q的推荐值为0.5，Ln推荐值5，变化范围2.5~6。以此基础调整，使最大增益满足1.3</t>
    <phoneticPr fontId="2" type="noConversion"/>
  </si>
  <si>
    <t>最终取值</t>
    <phoneticPr fontId="2" type="noConversion"/>
  </si>
  <si>
    <t>Ln</t>
    <phoneticPr fontId="2" type="noConversion"/>
  </si>
  <si>
    <t>Q</t>
    <phoneticPr fontId="2" type="noConversion"/>
  </si>
  <si>
    <t>M</t>
    <phoneticPr fontId="2" type="noConversion"/>
  </si>
  <si>
    <t>Ln=Lm/Lr</t>
    <phoneticPr fontId="2" type="noConversion"/>
  </si>
  <si>
    <t>fn=fs/fr</t>
    <phoneticPr fontId="2" type="noConversion"/>
  </si>
  <si>
    <t>步骤4：计算原边交流等效电阻Re</t>
    <phoneticPr fontId="2" type="noConversion"/>
  </si>
  <si>
    <t>Re=8*n^2*Vout/(Pi^2*Iout)</t>
    <phoneticPr fontId="2" type="noConversion"/>
  </si>
  <si>
    <t>110%过载时的Re</t>
    <phoneticPr fontId="2" type="noConversion"/>
  </si>
  <si>
    <t>步骤5：设计谐振槽路参数</t>
    <phoneticPr fontId="2" type="noConversion"/>
  </si>
  <si>
    <t>谐振频率fr(kHz)</t>
    <phoneticPr fontId="2" type="noConversion"/>
  </si>
  <si>
    <t>满载时计算谐振电容Cr(nF)</t>
    <phoneticPr fontId="2" type="noConversion"/>
  </si>
  <si>
    <t>Ω</t>
    <phoneticPr fontId="2" type="noConversion"/>
  </si>
  <si>
    <t>nF</t>
    <phoneticPr fontId="2" type="noConversion"/>
  </si>
  <si>
    <t>uH</t>
    <phoneticPr fontId="2" type="noConversion"/>
  </si>
  <si>
    <t>磁化电感Lm=Ln*Lr</t>
    <phoneticPr fontId="2" type="noConversion"/>
  </si>
  <si>
    <t>Lr实际取值</t>
    <phoneticPr fontId="2" type="noConversion"/>
  </si>
  <si>
    <t>步骤6：验证谐振槽路设计</t>
    <phoneticPr fontId="2" type="noConversion"/>
  </si>
  <si>
    <t>串联谐振频率为</t>
    <phoneticPr fontId="2" type="noConversion"/>
  </si>
  <si>
    <t>Cr=1/(2*Pi*fr*Q*Re)</t>
    <phoneticPr fontId="2" type="noConversion"/>
  </si>
  <si>
    <t>Lr=1/((2*Pi*fr)^2*Cr)</t>
    <phoneticPr fontId="2" type="noConversion"/>
  </si>
  <si>
    <t>fr=1/(2*pi*sqrt(Lr*Cr))</t>
    <phoneticPr fontId="2" type="noConversion"/>
  </si>
  <si>
    <t>kHz</t>
    <phoneticPr fontId="2" type="noConversion"/>
  </si>
  <si>
    <t>Cr实际取值</t>
    <phoneticPr fontId="2" type="noConversion"/>
  </si>
  <si>
    <t>nF</t>
    <phoneticPr fontId="2" type="noConversion"/>
  </si>
  <si>
    <t>Q=sqrt(Lr/Cr)/Re</t>
    <phoneticPr fontId="2" type="noConversion"/>
  </si>
  <si>
    <t>110%过载时的Q值</t>
    <phoneticPr fontId="2" type="noConversion"/>
  </si>
  <si>
    <t>对应最大工作频率fmax=fr*fnmax</t>
    <phoneticPr fontId="2" type="noConversion"/>
  </si>
  <si>
    <t>对应最小工作频率fmin=fr*fnmin</t>
    <phoneticPr fontId="2" type="noConversion"/>
  </si>
  <si>
    <t>步骤7：计算原边电流</t>
    <phoneticPr fontId="2" type="noConversion"/>
  </si>
  <si>
    <t>在110%负载工况，计算变压器原边等效负载的有效值</t>
    <phoneticPr fontId="2" type="noConversion"/>
  </si>
  <si>
    <r>
      <t>I</t>
    </r>
    <r>
      <rPr>
        <b/>
        <vertAlign val="subscript"/>
        <sz val="11"/>
        <color theme="1"/>
        <rFont val="宋体"/>
        <family val="3"/>
        <charset val="134"/>
        <scheme val="minor"/>
      </rPr>
      <t>R1</t>
    </r>
    <r>
      <rPr>
        <b/>
        <sz val="11"/>
        <color theme="1"/>
        <rFont val="宋体"/>
        <family val="3"/>
        <charset val="134"/>
        <scheme val="minor"/>
      </rPr>
      <t>=pi*Io/(2*sqrt(2)*n)</t>
    </r>
    <phoneticPr fontId="2" type="noConversion"/>
  </si>
  <si>
    <t>A</t>
    <phoneticPr fontId="2" type="noConversion"/>
  </si>
  <si>
    <t>在最低频率时，磁化电流最大</t>
    <phoneticPr fontId="2" type="noConversion"/>
  </si>
  <si>
    <t>Im=2*sqrt(2)*n*Vo/(pi*𝝎*Lm)</t>
    <phoneticPr fontId="2" type="noConversion"/>
  </si>
  <si>
    <t>这也是开关管和变压器原边以及谐振电感的最大电流有效值</t>
    <phoneticPr fontId="2" type="noConversion"/>
  </si>
  <si>
    <t>则谐振电感电流等于上两者的矢量和</t>
    <phoneticPr fontId="2" type="noConversion"/>
  </si>
  <si>
    <t>步骤8：计算副边电流</t>
    <phoneticPr fontId="2" type="noConversion"/>
  </si>
  <si>
    <t>按变压器的变比关系，计算副边电流有效值为</t>
    <phoneticPr fontId="2" type="noConversion"/>
  </si>
  <si>
    <r>
      <t>I</t>
    </r>
    <r>
      <rPr>
        <b/>
        <vertAlign val="subscript"/>
        <sz val="11"/>
        <color theme="1"/>
        <rFont val="宋体"/>
        <family val="3"/>
        <charset val="134"/>
        <scheme val="minor"/>
      </rPr>
      <t>R</t>
    </r>
    <r>
      <rPr>
        <b/>
        <sz val="11"/>
        <color theme="1"/>
        <rFont val="宋体"/>
        <family val="3"/>
        <charset val="134"/>
        <scheme val="minor"/>
      </rPr>
      <t>=n*I</t>
    </r>
    <r>
      <rPr>
        <b/>
        <vertAlign val="subscript"/>
        <sz val="11"/>
        <color theme="1"/>
        <rFont val="宋体"/>
        <family val="3"/>
        <charset val="134"/>
        <scheme val="minor"/>
      </rPr>
      <t>R1</t>
    </r>
    <phoneticPr fontId="2" type="noConversion"/>
  </si>
  <si>
    <t>变压器副边采用中心抽头结构，负载电流平均分担，其有效值为</t>
    <phoneticPr fontId="2" type="noConversion"/>
  </si>
  <si>
    <r>
      <t>I</t>
    </r>
    <r>
      <rPr>
        <b/>
        <vertAlign val="subscript"/>
        <sz val="11"/>
        <color theme="1"/>
        <rFont val="宋体"/>
        <family val="3"/>
        <charset val="134"/>
        <scheme val="minor"/>
      </rPr>
      <t>Dr</t>
    </r>
    <r>
      <rPr>
        <b/>
        <sz val="11"/>
        <color theme="1"/>
        <rFont val="宋体"/>
        <family val="3"/>
        <charset val="134"/>
        <scheme val="minor"/>
      </rPr>
      <t>=sqrt(2)*I</t>
    </r>
    <r>
      <rPr>
        <b/>
        <vertAlign val="subscript"/>
        <sz val="11"/>
        <color theme="1"/>
        <rFont val="宋体"/>
        <family val="3"/>
        <charset val="134"/>
        <scheme val="minor"/>
      </rPr>
      <t>R</t>
    </r>
    <r>
      <rPr>
        <b/>
        <sz val="11"/>
        <color theme="1"/>
        <rFont val="宋体"/>
        <family val="3"/>
        <charset val="134"/>
        <scheme val="minor"/>
      </rPr>
      <t>/2</t>
    </r>
    <phoneticPr fontId="2" type="noConversion"/>
  </si>
  <si>
    <r>
      <t>平均值为I</t>
    </r>
    <r>
      <rPr>
        <b/>
        <vertAlign val="subscript"/>
        <sz val="11"/>
        <color theme="1"/>
        <rFont val="宋体"/>
        <family val="3"/>
        <charset val="134"/>
        <scheme val="minor"/>
      </rPr>
      <t>Drave</t>
    </r>
    <r>
      <rPr>
        <b/>
        <sz val="11"/>
        <color theme="1"/>
        <rFont val="宋体"/>
        <family val="3"/>
        <charset val="134"/>
        <scheme val="minor"/>
      </rPr>
      <t>=sqrt(2)*I</t>
    </r>
    <r>
      <rPr>
        <b/>
        <vertAlign val="subscript"/>
        <sz val="11"/>
        <color theme="1"/>
        <rFont val="宋体"/>
        <family val="3"/>
        <charset val="134"/>
        <scheme val="minor"/>
      </rPr>
      <t>R</t>
    </r>
    <r>
      <rPr>
        <b/>
        <sz val="11"/>
        <color theme="1"/>
        <rFont val="宋体"/>
        <family val="3"/>
        <charset val="134"/>
        <scheme val="minor"/>
      </rPr>
      <t>/pi</t>
    </r>
    <phoneticPr fontId="2" type="noConversion"/>
  </si>
  <si>
    <t>步骤8：验证ZVS条件</t>
    <phoneticPr fontId="2" type="noConversion"/>
  </si>
  <si>
    <t>其中，Vg是输入电压，Cds为MOSFET的输出电容，查MOS的技术手册按Cds=Coss-Crss得</t>
    <phoneticPr fontId="2" type="noConversion"/>
  </si>
  <si>
    <t>Cds</t>
    <phoneticPr fontId="2" type="noConversion"/>
  </si>
  <si>
    <t>pF</t>
    <phoneticPr fontId="2" type="noConversion"/>
  </si>
  <si>
    <t>在最高工作，磁化电感的峰值Imoff达到最小值</t>
    <phoneticPr fontId="2" type="noConversion"/>
  </si>
  <si>
    <t>则</t>
    <phoneticPr fontId="2" type="noConversion"/>
  </si>
  <si>
    <t>=</t>
    <phoneticPr fontId="2" type="noConversion"/>
  </si>
  <si>
    <t>死区时间Td&gt;=16*(Cds1+Cds2)*fs*Lm</t>
    <phoneticPr fontId="2" type="noConversion"/>
  </si>
  <si>
    <t>ns</t>
    <phoneticPr fontId="2" type="noConversion"/>
  </si>
  <si>
    <t>J</t>
    <phoneticPr fontId="2" type="noConversion"/>
  </si>
  <si>
    <t>为满足以上条件，设置控制芯片死区时间为</t>
    <phoneticPr fontId="2" type="noConversion"/>
  </si>
  <si>
    <t>步骤9：设计变压器</t>
    <phoneticPr fontId="2" type="noConversion"/>
  </si>
  <si>
    <r>
      <t>所选磁芯Ae值（mm</t>
    </r>
    <r>
      <rPr>
        <vertAlign val="superscript"/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2"/>
        <charset val="134"/>
        <scheme val="minor"/>
      </rPr>
      <t>)</t>
    </r>
    <phoneticPr fontId="2" type="noConversion"/>
  </si>
  <si>
    <t>确定初级最小匝数Np_min(Ts)</t>
    <phoneticPr fontId="2" type="noConversion"/>
  </si>
  <si>
    <t>次级匝数Ns(Ts)</t>
    <phoneticPr fontId="2" type="noConversion"/>
  </si>
  <si>
    <t>实际初次匝数Np_real(Ts)</t>
    <phoneticPr fontId="2" type="noConversion"/>
  </si>
  <si>
    <t>磁芯∆B(T)</t>
  </si>
  <si>
    <t>电流密度J(A/mm2)</t>
    <phoneticPr fontId="2" type="noConversion"/>
  </si>
  <si>
    <t>使用导线直径(mm)</t>
    <phoneticPr fontId="2" type="noConversion"/>
  </si>
  <si>
    <r>
      <rPr>
        <sz val="11"/>
        <color theme="1"/>
        <rFont val="宋体"/>
        <family val="3"/>
        <charset val="134"/>
      </rPr>
      <t>初级导线截面积(mm</t>
    </r>
    <r>
      <rPr>
        <vertAlign val="superscript"/>
        <sz val="11"/>
        <color theme="1"/>
        <rFont val="宋体"/>
        <family val="3"/>
        <charset val="134"/>
      </rPr>
      <t>2</t>
    </r>
    <r>
      <rPr>
        <sz val="11"/>
        <color theme="1"/>
        <rFont val="宋体"/>
        <family val="3"/>
        <charset val="134"/>
      </rPr>
      <t>)</t>
    </r>
  </si>
  <si>
    <t>初级导线股数</t>
    <phoneticPr fontId="2" type="noConversion"/>
  </si>
  <si>
    <r>
      <rPr>
        <sz val="11"/>
        <color theme="1"/>
        <rFont val="宋体"/>
        <family val="3"/>
        <charset val="134"/>
      </rPr>
      <t>次级导线截面积(mm</t>
    </r>
    <r>
      <rPr>
        <vertAlign val="superscript"/>
        <sz val="11"/>
        <color theme="1"/>
        <rFont val="宋体"/>
        <family val="3"/>
        <charset val="134"/>
      </rPr>
      <t>2</t>
    </r>
    <r>
      <rPr>
        <sz val="11"/>
        <color theme="1"/>
        <rFont val="宋体"/>
        <family val="3"/>
        <charset val="134"/>
      </rPr>
      <t>)</t>
    </r>
  </si>
  <si>
    <t>次级导线股数</t>
    <phoneticPr fontId="2" type="noConversion"/>
  </si>
  <si>
    <t>窗口使用系数K</t>
    <phoneticPr fontId="2" type="noConversion"/>
  </si>
  <si>
    <r>
      <t>理论需要窗口面积</t>
    </r>
    <r>
      <rPr>
        <sz val="11"/>
        <color theme="1"/>
        <rFont val="宋体"/>
        <family val="3"/>
        <charset val="134"/>
        <scheme val="minor"/>
      </rPr>
      <t>Aw</t>
    </r>
    <r>
      <rPr>
        <sz val="11"/>
        <color theme="1"/>
        <rFont val="宋体"/>
        <family val="2"/>
        <charset val="134"/>
        <scheme val="minor"/>
      </rPr>
      <t>(mm</t>
    </r>
    <r>
      <rPr>
        <vertAlign val="superscript"/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2"/>
        <charset val="134"/>
        <scheme val="minor"/>
      </rPr>
      <t>)</t>
    </r>
    <phoneticPr fontId="2" type="noConversion"/>
  </si>
  <si>
    <t>若大于所选磁芯的Aw值，则要换更大号磁芯</t>
    <phoneticPr fontId="2" type="noConversion"/>
  </si>
  <si>
    <r>
      <t>I</t>
    </r>
    <r>
      <rPr>
        <b/>
        <vertAlign val="subscript"/>
        <sz val="11"/>
        <color theme="1"/>
        <rFont val="宋体"/>
        <family val="3"/>
        <charset val="134"/>
        <scheme val="minor"/>
      </rPr>
      <t>Lr</t>
    </r>
    <r>
      <rPr>
        <b/>
        <sz val="11"/>
        <color theme="1"/>
        <rFont val="宋体"/>
        <family val="3"/>
        <charset val="134"/>
        <scheme val="minor"/>
      </rPr>
      <t>=sqrt(I</t>
    </r>
    <r>
      <rPr>
        <b/>
        <vertAlign val="subscript"/>
        <sz val="11"/>
        <color theme="1"/>
        <rFont val="宋体"/>
        <family val="3"/>
        <charset val="134"/>
        <scheme val="minor"/>
      </rPr>
      <t>R1</t>
    </r>
    <r>
      <rPr>
        <b/>
        <vertAlign val="superscript"/>
        <sz val="11"/>
        <color theme="1"/>
        <rFont val="宋体"/>
        <family val="3"/>
        <charset val="134"/>
        <scheme val="minor"/>
      </rPr>
      <t>2</t>
    </r>
    <r>
      <rPr>
        <b/>
        <sz val="11"/>
        <color theme="1"/>
        <rFont val="宋体"/>
        <family val="3"/>
        <charset val="134"/>
        <scheme val="minor"/>
      </rPr>
      <t>+Im</t>
    </r>
    <r>
      <rPr>
        <b/>
        <vertAlign val="superscript"/>
        <sz val="11"/>
        <color theme="1"/>
        <rFont val="宋体"/>
        <family val="3"/>
        <charset val="134"/>
        <scheme val="minor"/>
      </rPr>
      <t>2</t>
    </r>
    <r>
      <rPr>
        <b/>
        <sz val="11"/>
        <color theme="1"/>
        <rFont val="宋体"/>
        <family val="3"/>
        <charset val="134"/>
        <scheme val="minor"/>
      </rPr>
      <t>)</t>
    </r>
    <phoneticPr fontId="2" type="noConversion"/>
  </si>
  <si>
    <t>步骤10：设计谐振电感</t>
    <phoneticPr fontId="2" type="noConversion"/>
  </si>
  <si>
    <t>谐振电感磁芯Bmax(T)</t>
    <phoneticPr fontId="14" type="noConversion"/>
  </si>
  <si>
    <r>
      <t>谐振电感磁芯A</t>
    </r>
    <r>
      <rPr>
        <sz val="11"/>
        <color theme="1"/>
        <rFont val="宋体"/>
        <family val="3"/>
        <charset val="134"/>
        <scheme val="minor"/>
      </rPr>
      <t>e(mm</t>
    </r>
    <r>
      <rPr>
        <vertAlign val="superscript"/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)</t>
    </r>
    <phoneticPr fontId="14" type="noConversion"/>
  </si>
  <si>
    <r>
      <t>谐振电感峰值电流I</t>
    </r>
    <r>
      <rPr>
        <vertAlign val="subscript"/>
        <sz val="11"/>
        <color theme="1"/>
        <rFont val="宋体"/>
        <family val="3"/>
        <charset val="134"/>
        <scheme val="minor"/>
      </rPr>
      <t>lrp</t>
    </r>
    <r>
      <rPr>
        <sz val="11"/>
        <color theme="1"/>
        <rFont val="宋体"/>
        <family val="3"/>
        <charset val="134"/>
        <scheme val="minor"/>
      </rPr>
      <t>(A)</t>
    </r>
    <phoneticPr fontId="14" type="noConversion"/>
  </si>
  <si>
    <t>所需匝数N(Ts)</t>
    <phoneticPr fontId="14" type="noConversion"/>
  </si>
  <si>
    <r>
      <t>所需导线截面积(mm</t>
    </r>
    <r>
      <rPr>
        <vertAlign val="superscript"/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)</t>
    </r>
    <phoneticPr fontId="14" type="noConversion"/>
  </si>
  <si>
    <t>导线直径d(mm)</t>
    <phoneticPr fontId="14" type="noConversion"/>
  </si>
  <si>
    <t>导线股数</t>
    <phoneticPr fontId="14" type="noConversion"/>
  </si>
  <si>
    <t>磁芯窗口使用系数K</t>
    <phoneticPr fontId="14" type="noConversion"/>
  </si>
  <si>
    <r>
      <t>理论需要窗口面积Aw(mm</t>
    </r>
    <r>
      <rPr>
        <vertAlign val="superscript"/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)</t>
    </r>
    <phoneticPr fontId="14" type="noConversion"/>
  </si>
  <si>
    <t>取为</t>
    <phoneticPr fontId="2" type="noConversion"/>
  </si>
  <si>
    <t>Mmin时最大fnmax=</t>
    <phoneticPr fontId="2" type="noConversion"/>
  </si>
  <si>
    <t>Mmax时，最小fnmin=</t>
    <phoneticPr fontId="2" type="noConversion"/>
  </si>
  <si>
    <t>按Ln,Q绘制增益曲线</t>
    <phoneticPr fontId="2" type="noConversion"/>
  </si>
  <si>
    <t>PQ4040</t>
    <phoneticPr fontId="2" type="noConversion"/>
  </si>
  <si>
    <t>PQ3220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</si>
</sst>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5" x14ac:knownFonts="1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vertAlign val="subscript"/>
      <sz val="11"/>
      <color theme="1"/>
      <name val="宋体"/>
      <family val="3"/>
      <charset val="134"/>
      <scheme val="minor"/>
    </font>
    <font>
      <sz val="11"/>
      <color theme="1"/>
      <name val="Segoe UI"/>
      <family val="2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vertAlign val="subscript"/>
      <sz val="11"/>
      <color theme="1"/>
      <name val="宋体"/>
      <family val="3"/>
      <charset val="134"/>
      <scheme val="minor"/>
    </font>
    <font>
      <b/>
      <sz val="11"/>
      <color theme="1"/>
      <name val="Segoe UI"/>
      <family val="2"/>
    </font>
    <font>
      <b/>
      <sz val="11"/>
      <color theme="1"/>
      <name val="宋体"/>
      <family val="2"/>
      <charset val="134"/>
    </font>
    <font>
      <sz val="11"/>
      <color theme="1"/>
      <name val="宋体"/>
      <family val="3"/>
      <charset val="134"/>
      <scheme val="minor"/>
    </font>
    <font>
      <vertAlign val="superscript"/>
      <sz val="11"/>
      <color theme="1"/>
      <name val="宋体"/>
      <family val="3"/>
      <charset val="134"/>
      <scheme val="minor"/>
    </font>
    <font>
      <vertAlign val="superscript"/>
      <sz val="11"/>
      <color theme="1"/>
      <name val="宋体"/>
      <family val="3"/>
      <charset val="134"/>
    </font>
    <font>
      <b/>
      <vertAlign val="superscript"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176" fontId="0" fillId="3" borderId="0" xfId="0" applyNumberFormat="1" applyFill="1">
      <alignment vertical="center"/>
    </xf>
    <xf numFmtId="0" fontId="6" fillId="0" borderId="0" xfId="0" applyFont="1">
      <alignment vertical="center"/>
    </xf>
    <xf numFmtId="0" fontId="1" fillId="0" borderId="0" xfId="0" applyFont="1">
      <alignment vertical="center"/>
    </xf>
    <xf numFmtId="0" fontId="10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4" fillId="0" borderId="0" xfId="0" applyFont="1">
      <alignment vertical="center"/>
    </xf>
    <xf numFmtId="0" fontId="0" fillId="0" borderId="0" xfId="0" quotePrefix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577554690861589"/>
          <c:y val="0.14850729303760798"/>
          <c:w val="0.60558068120962227"/>
          <c:h val="0.65037478066315835"/>
        </c:manualLayout>
      </c:layout>
      <c:lineChart>
        <c:grouping val="standard"/>
        <c:varyColors val="0"/>
        <c:ser>
          <c:idx val="5"/>
          <c:order val="0"/>
          <c:tx>
            <c:v>Q取值</c:v>
          </c:tx>
          <c:cat>
            <c:numRef>
              <c:f>Sheet1!$G$42:$G$61</c:f>
              <c:numCache>
                <c:formatCode>General</c:formatCode>
                <c:ptCount val="2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</c:numCache>
            </c:numRef>
          </c:cat>
          <c:val>
            <c:numRef>
              <c:f>Sheet1!$E$42:$E$61</c:f>
              <c:numCache>
                <c:formatCode>General</c:formatCode>
                <c:ptCount val="20"/>
                <c:pt idx="0">
                  <c:v>5.7289744608085127E-2</c:v>
                </c:pt>
                <c:pt idx="1">
                  <c:v>0.25819502040725345</c:v>
                </c:pt>
                <c:pt idx="2">
                  <c:v>0.67805333472996865</c:v>
                </c:pt>
                <c:pt idx="3">
                  <c:v>1.1887370514666711</c:v>
                </c:pt>
                <c:pt idx="4">
                  <c:v>1.3284869135900172</c:v>
                </c:pt>
                <c:pt idx="5">
                  <c:v>1.2499424524489542</c:v>
                </c:pt>
                <c:pt idx="6">
                  <c:v>1.1607025949420542</c:v>
                </c:pt>
                <c:pt idx="7">
                  <c:v>1.0921859215941403</c:v>
                </c:pt>
                <c:pt idx="8">
                  <c:v>1.0405087300354372</c:v>
                </c:pt>
                <c:pt idx="9">
                  <c:v>1</c:v>
                </c:pt>
                <c:pt idx="10">
                  <c:v>0.96676468815459959</c:v>
                </c:pt>
                <c:pt idx="11">
                  <c:v>0.93835362214170115</c:v>
                </c:pt>
                <c:pt idx="12">
                  <c:v>0.91323169639081236</c:v>
                </c:pt>
                <c:pt idx="13">
                  <c:v>0.89042187850792054</c:v>
                </c:pt>
                <c:pt idx="14">
                  <c:v>0.86929104658336831</c:v>
                </c:pt>
                <c:pt idx="15">
                  <c:v>0.84942223835479391</c:v>
                </c:pt>
                <c:pt idx="16">
                  <c:v>0.83053716089726448</c:v>
                </c:pt>
                <c:pt idx="17">
                  <c:v>0.81244808596267482</c:v>
                </c:pt>
                <c:pt idx="18">
                  <c:v>0.79502728357862928</c:v>
                </c:pt>
                <c:pt idx="19">
                  <c:v>0.7781871860495424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447040"/>
        <c:axId val="191448576"/>
      </c:lineChart>
      <c:catAx>
        <c:axId val="19144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1448576"/>
        <c:crosses val="autoZero"/>
        <c:auto val="1"/>
        <c:lblAlgn val="ctr"/>
        <c:lblOffset val="100"/>
        <c:noMultiLvlLbl val="0"/>
      </c:catAx>
      <c:valAx>
        <c:axId val="191448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1447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Q=0.473</c:v>
          </c:tx>
          <c:xVal>
            <c:numRef>
              <c:f>Sheet1!$G$64:$G$83</c:f>
              <c:numCache>
                <c:formatCode>General</c:formatCode>
                <c:ptCount val="2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0.6925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1.23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</c:numCache>
            </c:numRef>
          </c:xVal>
          <c:yVal>
            <c:numRef>
              <c:f>Sheet1!$E$64:$E$83</c:f>
              <c:numCache>
                <c:formatCode>General</c:formatCode>
                <c:ptCount val="20"/>
                <c:pt idx="0">
                  <c:v>5.7192604345251453E-2</c:v>
                </c:pt>
                <c:pt idx="1">
                  <c:v>0.25612449142237176</c:v>
                </c:pt>
                <c:pt idx="2">
                  <c:v>0.66338559962924992</c:v>
                </c:pt>
                <c:pt idx="3">
                  <c:v>1.1514233342749407</c:v>
                </c:pt>
                <c:pt idx="4">
                  <c:v>1.3014570313487448</c:v>
                </c:pt>
                <c:pt idx="5">
                  <c:v>1.2383636414747992</c:v>
                </c:pt>
                <c:pt idx="6">
                  <c:v>1.1619777937747175</c:v>
                </c:pt>
                <c:pt idx="7">
                  <c:v>1.0907944060698174</c:v>
                </c:pt>
                <c:pt idx="8">
                  <c:v>1.0402435155746783</c:v>
                </c:pt>
                <c:pt idx="9">
                  <c:v>1</c:v>
                </c:pt>
                <c:pt idx="10">
                  <c:v>0.96659070699890359</c:v>
                </c:pt>
                <c:pt idx="11">
                  <c:v>0.92978510214151966</c:v>
                </c:pt>
                <c:pt idx="12">
                  <c:v>0.91209994664422867</c:v>
                </c:pt>
                <c:pt idx="13">
                  <c:v>0.88867285079973501</c:v>
                </c:pt>
                <c:pt idx="14">
                  <c:v>0.8668903622033407</c:v>
                </c:pt>
                <c:pt idx="15">
                  <c:v>0.84636005912637458</c:v>
                </c:pt>
                <c:pt idx="16">
                  <c:v>0.82682023566920637</c:v>
                </c:pt>
                <c:pt idx="17">
                  <c:v>0.80809457066689006</c:v>
                </c:pt>
                <c:pt idx="18">
                  <c:v>0.79006317395720538</c:v>
                </c:pt>
                <c:pt idx="19">
                  <c:v>0.77264375428348886</c:v>
                </c:pt>
              </c:numCache>
            </c:numRef>
          </c:yVal>
          <c:smooth val="1"/>
        </c:ser>
        <c:ser>
          <c:idx val="1"/>
          <c:order val="1"/>
          <c:tx>
            <c:v>Q=0.52</c:v>
          </c:tx>
          <c:xVal>
            <c:numRef>
              <c:f>Sheet1!$L$64:$L$83</c:f>
              <c:numCache>
                <c:formatCode>General</c:formatCode>
                <c:ptCount val="2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0.72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1.18</c:v>
                </c:pt>
                <c:pt idx="12">
                  <c:v>1.24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</c:numCache>
            </c:numRef>
          </c:xVal>
          <c:yVal>
            <c:numRef>
              <c:f>Sheet1!$J$64:$J$83</c:f>
              <c:numCache>
                <c:formatCode>General</c:formatCode>
                <c:ptCount val="20"/>
                <c:pt idx="0">
                  <c:v>5.6869479542434938E-2</c:v>
                </c:pt>
                <c:pt idx="1">
                  <c:v>0.2495095546077252</c:v>
                </c:pt>
                <c:pt idx="2">
                  <c:v>0.62024719111846827</c:v>
                </c:pt>
                <c:pt idx="3">
                  <c:v>1.0476876662336432</c:v>
                </c:pt>
                <c:pt idx="4">
                  <c:v>1.2213549082948285</c:v>
                </c:pt>
                <c:pt idx="5">
                  <c:v>1.2016586419935646</c:v>
                </c:pt>
                <c:pt idx="6">
                  <c:v>1.1301583711779746</c:v>
                </c:pt>
                <c:pt idx="7">
                  <c:v>1.0861530181017964</c:v>
                </c:pt>
                <c:pt idx="8">
                  <c:v>1.0393529985273862</c:v>
                </c:pt>
                <c:pt idx="9">
                  <c:v>1</c:v>
                </c:pt>
                <c:pt idx="10">
                  <c:v>0.96600624002114677</c:v>
                </c:pt>
                <c:pt idx="11">
                  <c:v>0.94159743507520233</c:v>
                </c:pt>
                <c:pt idx="12">
                  <c:v>0.92453040138500053</c:v>
                </c:pt>
                <c:pt idx="13">
                  <c:v>0.88286505446113328</c:v>
                </c:pt>
                <c:pt idx="14">
                  <c:v>0.85895966625339115</c:v>
                </c:pt>
                <c:pt idx="15">
                  <c:v>0.83629886729762137</c:v>
                </c:pt>
                <c:pt idx="16">
                  <c:v>0.81467570787021648</c:v>
                </c:pt>
                <c:pt idx="17">
                  <c:v>0.79394999047505266</c:v>
                </c:pt>
                <c:pt idx="18">
                  <c:v>0.77402520666110453</c:v>
                </c:pt>
                <c:pt idx="19">
                  <c:v>0.75483343943421566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473920"/>
        <c:axId val="191488000"/>
      </c:scatterChart>
      <c:valAx>
        <c:axId val="19147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1488000"/>
        <c:crosses val="autoZero"/>
        <c:crossBetween val="midCat"/>
      </c:valAx>
      <c:valAx>
        <c:axId val="191488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1473920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80596</xdr:colOff>
      <xdr:row>40</xdr:row>
      <xdr:rowOff>57904</xdr:rowOff>
    </xdr:from>
    <xdr:to>
      <xdr:col>3</xdr:col>
      <xdr:colOff>395654</xdr:colOff>
      <xdr:row>60</xdr:row>
      <xdr:rowOff>175846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83</xdr:row>
      <xdr:rowOff>114299</xdr:rowOff>
    </xdr:from>
    <xdr:to>
      <xdr:col>11</xdr:col>
      <xdr:colOff>571500</xdr:colOff>
      <xdr:row>104</xdr:row>
      <xdr:rowOff>104774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28575</xdr:colOff>
      <xdr:row>103</xdr:row>
      <xdr:rowOff>28575</xdr:rowOff>
    </xdr:from>
    <xdr:to>
      <xdr:col>1</xdr:col>
      <xdr:colOff>207620</xdr:colOff>
      <xdr:row>108</xdr:row>
      <xdr:rowOff>56999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575" y="18030825"/>
          <a:ext cx="3331820" cy="88567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112</xdr:row>
      <xdr:rowOff>28577</xdr:rowOff>
    </xdr:from>
    <xdr:to>
      <xdr:col>0</xdr:col>
      <xdr:colOff>2133600</xdr:colOff>
      <xdr:row>115</xdr:row>
      <xdr:rowOff>132061</xdr:rowOff>
    </xdr:to>
    <xdr:pic>
      <xdr:nvPicPr>
        <xdr:cNvPr id="7" name="图片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725" y="19573877"/>
          <a:ext cx="2047875" cy="617834"/>
        </a:xfrm>
        <a:prstGeom prst="rect">
          <a:avLst/>
        </a:prstGeom>
      </xdr:spPr>
    </xdr:pic>
    <xdr:clientData/>
  </xdr:twoCellAnchor>
  <xdr:twoCellAnchor editAs="oneCell">
    <xdr:from>
      <xdr:col>0</xdr:col>
      <xdr:colOff>1095375</xdr:colOff>
      <xdr:row>116</xdr:row>
      <xdr:rowOff>28575</xdr:rowOff>
    </xdr:from>
    <xdr:to>
      <xdr:col>0</xdr:col>
      <xdr:colOff>3009622</xdr:colOff>
      <xdr:row>118</xdr:row>
      <xdr:rowOff>129320</xdr:rowOff>
    </xdr:to>
    <xdr:pic>
      <xdr:nvPicPr>
        <xdr:cNvPr id="9" name="图片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95375" y="20259675"/>
          <a:ext cx="1914247" cy="443645"/>
        </a:xfrm>
        <a:prstGeom prst="rect">
          <a:avLst/>
        </a:prstGeom>
      </xdr:spPr>
    </xdr:pic>
    <xdr:clientData/>
  </xdr:twoCellAnchor>
  <xdr:twoCellAnchor editAs="oneCell">
    <xdr:from>
      <xdr:col>0</xdr:col>
      <xdr:colOff>1371599</xdr:colOff>
      <xdr:row>119</xdr:row>
      <xdr:rowOff>19051</xdr:rowOff>
    </xdr:from>
    <xdr:to>
      <xdr:col>0</xdr:col>
      <xdr:colOff>2990850</xdr:colOff>
      <xdr:row>121</xdr:row>
      <xdr:rowOff>140746</xdr:rowOff>
    </xdr:to>
    <xdr:pic>
      <xdr:nvPicPr>
        <xdr:cNvPr id="10" name="图片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71599" y="20764501"/>
          <a:ext cx="1619251" cy="464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4"/>
  <sheetViews>
    <sheetView tabSelected="1" topLeftCell="A109" zoomScaleNormal="100" workbookViewId="0">
      <selection activeCell="F121" sqref="F121"/>
    </sheetView>
  </sheetViews>
  <sheetFormatPr defaultRowHeight="13.5" x14ac:dyDescent="0.15"/>
  <cols>
    <col min="1" max="1" width="41.375" customWidth="1"/>
    <col min="2" max="2" width="12.75" bestFit="1" customWidth="1"/>
    <col min="4" max="4" width="12.75" bestFit="1" customWidth="1"/>
    <col min="7" max="7" width="13" customWidth="1"/>
  </cols>
  <sheetData>
    <row r="1" spans="1:12" x14ac:dyDescent="0.15">
      <c r="A1" s="4" t="s">
        <v>0</v>
      </c>
      <c r="H1" s="11"/>
      <c r="I1" s="11"/>
      <c r="J1" s="11"/>
      <c r="K1" s="11"/>
      <c r="L1" s="11"/>
    </row>
    <row r="2" spans="1:12" x14ac:dyDescent="0.15">
      <c r="A2" t="s">
        <v>1</v>
      </c>
      <c r="B2" s="1">
        <v>360</v>
      </c>
      <c r="F2" s="1"/>
      <c r="G2" t="s">
        <v>12</v>
      </c>
      <c r="H2" s="11"/>
      <c r="I2" s="11"/>
      <c r="J2" s="11"/>
      <c r="K2" s="11"/>
      <c r="L2" s="11"/>
    </row>
    <row r="3" spans="1:12" x14ac:dyDescent="0.15">
      <c r="A3" t="s">
        <v>2</v>
      </c>
      <c r="B3" s="1">
        <v>420</v>
      </c>
      <c r="F3" s="2"/>
      <c r="G3" t="s">
        <v>11</v>
      </c>
      <c r="H3" s="11"/>
      <c r="I3" s="11"/>
      <c r="J3" s="11"/>
      <c r="K3" s="11"/>
      <c r="L3" s="11"/>
    </row>
    <row r="4" spans="1:12" x14ac:dyDescent="0.15">
      <c r="A4" t="s">
        <v>3</v>
      </c>
      <c r="B4" s="1">
        <v>380</v>
      </c>
      <c r="H4" s="11"/>
      <c r="I4" s="11"/>
      <c r="J4" s="11"/>
      <c r="K4" s="11"/>
      <c r="L4" s="11"/>
    </row>
    <row r="5" spans="1:12" x14ac:dyDescent="0.15">
      <c r="A5" t="s">
        <v>4</v>
      </c>
      <c r="B5" s="1">
        <v>51</v>
      </c>
      <c r="H5" s="11"/>
      <c r="I5" s="11"/>
      <c r="J5" s="11"/>
      <c r="K5" s="11"/>
      <c r="L5" s="11"/>
    </row>
    <row r="6" spans="1:12" x14ac:dyDescent="0.15">
      <c r="A6" t="s">
        <v>5</v>
      </c>
      <c r="B6" s="1">
        <v>20</v>
      </c>
      <c r="H6" s="11"/>
      <c r="I6" s="11"/>
      <c r="J6" s="11"/>
      <c r="K6" s="11"/>
      <c r="L6" s="11"/>
    </row>
    <row r="7" spans="1:12" x14ac:dyDescent="0.15">
      <c r="A7" t="s">
        <v>19</v>
      </c>
      <c r="B7" s="2">
        <f>B5*B6</f>
        <v>1020</v>
      </c>
      <c r="H7" s="11"/>
      <c r="I7" s="11"/>
      <c r="J7" s="11"/>
      <c r="K7" s="11"/>
      <c r="L7" s="11"/>
    </row>
    <row r="8" spans="1:12" x14ac:dyDescent="0.15">
      <c r="A8" t="s">
        <v>6</v>
      </c>
      <c r="B8" s="1">
        <v>1</v>
      </c>
      <c r="C8">
        <f>B8/100</f>
        <v>0.01</v>
      </c>
      <c r="H8" s="11"/>
      <c r="I8" s="11"/>
      <c r="J8" s="11"/>
      <c r="K8" s="11"/>
      <c r="L8" s="11"/>
    </row>
    <row r="9" spans="1:12" x14ac:dyDescent="0.15">
      <c r="A9" t="s">
        <v>7</v>
      </c>
      <c r="B9" s="1">
        <v>1</v>
      </c>
      <c r="C9">
        <f>B9/100</f>
        <v>0.01</v>
      </c>
      <c r="H9" s="11"/>
      <c r="I9" s="11"/>
      <c r="J9" s="11"/>
      <c r="K9" s="11"/>
      <c r="L9" s="11"/>
    </row>
    <row r="10" spans="1:12" x14ac:dyDescent="0.15">
      <c r="A10" t="s">
        <v>8</v>
      </c>
      <c r="B10" s="1">
        <v>500</v>
      </c>
      <c r="H10" s="11"/>
      <c r="I10" s="11"/>
      <c r="J10" s="11"/>
      <c r="K10" s="11"/>
      <c r="L10" s="11"/>
    </row>
    <row r="11" spans="1:12" x14ac:dyDescent="0.15">
      <c r="A11" t="s">
        <v>20</v>
      </c>
      <c r="B11" s="1">
        <v>0.95</v>
      </c>
      <c r="H11" s="11"/>
      <c r="I11" s="11"/>
      <c r="J11" s="11"/>
      <c r="K11" s="11"/>
      <c r="L11" s="11"/>
    </row>
    <row r="12" spans="1:12" x14ac:dyDescent="0.15">
      <c r="A12" t="s">
        <v>9</v>
      </c>
      <c r="B12" s="1">
        <v>70</v>
      </c>
      <c r="H12" s="11"/>
      <c r="I12" s="11"/>
      <c r="J12" s="11"/>
      <c r="K12" s="11"/>
      <c r="L12" s="11"/>
    </row>
    <row r="13" spans="1:12" x14ac:dyDescent="0.15">
      <c r="A13" t="s">
        <v>10</v>
      </c>
      <c r="B13" s="1">
        <v>150</v>
      </c>
      <c r="H13" s="11"/>
      <c r="I13" s="11"/>
      <c r="J13" s="11"/>
      <c r="K13" s="11"/>
      <c r="L13" s="11"/>
    </row>
    <row r="14" spans="1:12" x14ac:dyDescent="0.15">
      <c r="A14" t="s">
        <v>44</v>
      </c>
      <c r="B14" s="1">
        <v>100</v>
      </c>
      <c r="H14" s="11"/>
      <c r="I14" s="11"/>
      <c r="J14" s="11"/>
      <c r="K14" s="11"/>
      <c r="L14" s="11"/>
    </row>
    <row r="15" spans="1:12" x14ac:dyDescent="0.15">
      <c r="A15" t="s">
        <v>24</v>
      </c>
      <c r="B15" s="1">
        <v>0.7</v>
      </c>
      <c r="H15" s="11"/>
      <c r="I15" s="11"/>
      <c r="J15" s="11"/>
      <c r="K15" s="11"/>
      <c r="L15" s="11"/>
    </row>
    <row r="16" spans="1:12" x14ac:dyDescent="0.15">
      <c r="B16" s="1"/>
      <c r="H16" s="11"/>
      <c r="I16" s="11"/>
      <c r="J16" s="11"/>
      <c r="K16" s="11"/>
      <c r="L16" s="11"/>
    </row>
    <row r="17" spans="1:12" x14ac:dyDescent="0.15">
      <c r="A17" s="4" t="s">
        <v>14</v>
      </c>
      <c r="H17" s="11"/>
      <c r="I17" s="11"/>
      <c r="J17" s="11"/>
      <c r="K17" s="11"/>
      <c r="L17" s="11"/>
    </row>
    <row r="18" spans="1:12" x14ac:dyDescent="0.15">
      <c r="A18" t="s">
        <v>13</v>
      </c>
      <c r="H18" s="11"/>
      <c r="I18" s="11"/>
      <c r="J18" s="11"/>
      <c r="K18" s="11"/>
      <c r="L18" s="11"/>
    </row>
    <row r="19" spans="1:12" x14ac:dyDescent="0.15">
      <c r="A19" s="4" t="s">
        <v>15</v>
      </c>
      <c r="B19" s="2">
        <f>B4/2/(B5+0.7)</f>
        <v>3.6750483558994196</v>
      </c>
      <c r="H19" s="11"/>
      <c r="I19" s="11"/>
      <c r="J19" s="11"/>
      <c r="K19" s="11"/>
      <c r="L19" s="11"/>
    </row>
    <row r="20" spans="1:12" x14ac:dyDescent="0.15">
      <c r="A20" t="s">
        <v>114</v>
      </c>
      <c r="B20" s="1">
        <v>3.5</v>
      </c>
      <c r="H20" s="11"/>
      <c r="I20" s="11"/>
      <c r="J20" s="11"/>
      <c r="K20" s="11"/>
      <c r="L20" s="11"/>
    </row>
    <row r="21" spans="1:12" x14ac:dyDescent="0.15">
      <c r="H21" s="11"/>
      <c r="I21" s="11"/>
      <c r="J21" s="11"/>
      <c r="K21" s="11"/>
      <c r="L21" s="11"/>
    </row>
    <row r="22" spans="1:12" x14ac:dyDescent="0.15">
      <c r="A22" s="4" t="s">
        <v>16</v>
      </c>
      <c r="H22" s="11"/>
      <c r="I22" s="11"/>
      <c r="J22" s="11"/>
      <c r="K22" s="11"/>
      <c r="L22" s="11"/>
    </row>
    <row r="23" spans="1:12" x14ac:dyDescent="0.15">
      <c r="A23" t="s">
        <v>18</v>
      </c>
      <c r="H23" s="11"/>
      <c r="I23" s="11"/>
      <c r="J23" s="11"/>
      <c r="K23" s="11"/>
      <c r="L23" s="11"/>
    </row>
    <row r="24" spans="1:12" x14ac:dyDescent="0.15">
      <c r="A24" t="s">
        <v>17</v>
      </c>
      <c r="H24" s="11"/>
      <c r="I24" s="11"/>
      <c r="J24" s="11"/>
      <c r="K24" s="11"/>
      <c r="L24" s="11"/>
    </row>
    <row r="25" spans="1:12" ht="16.5" x14ac:dyDescent="0.15">
      <c r="A25" s="5" t="s">
        <v>27</v>
      </c>
      <c r="B25" s="2">
        <f>B7/B11*(1-B11)/B6</f>
        <v>2.684210526315792</v>
      </c>
      <c r="H25" s="11"/>
      <c r="I25" s="11"/>
      <c r="J25" s="11"/>
      <c r="K25" s="11"/>
      <c r="L25" s="11"/>
    </row>
    <row r="26" spans="1:12" x14ac:dyDescent="0.15">
      <c r="A26" t="s">
        <v>21</v>
      </c>
      <c r="B26" s="1">
        <v>2.6840000000000002</v>
      </c>
      <c r="H26" s="11"/>
      <c r="I26" s="11"/>
      <c r="J26" s="11"/>
      <c r="K26" s="11"/>
      <c r="L26" s="11"/>
    </row>
    <row r="27" spans="1:12" x14ac:dyDescent="0.15">
      <c r="A27" t="s">
        <v>22</v>
      </c>
      <c r="H27" s="11"/>
      <c r="I27" s="11"/>
      <c r="J27" s="11"/>
      <c r="K27" s="11"/>
      <c r="L27" s="11"/>
    </row>
    <row r="28" spans="1:12" x14ac:dyDescent="0.15">
      <c r="A28" s="4" t="s">
        <v>23</v>
      </c>
      <c r="B28" s="3">
        <f>B20*(B5*(1+C9)+B15+B26)/(B2/2)</f>
        <v>1.0673833333333334</v>
      </c>
      <c r="H28" s="11"/>
      <c r="I28" s="11"/>
      <c r="J28" s="11"/>
      <c r="K28" s="11"/>
      <c r="L28" s="11"/>
    </row>
    <row r="29" spans="1:12" x14ac:dyDescent="0.15">
      <c r="A29" t="s">
        <v>25</v>
      </c>
      <c r="H29" s="11"/>
      <c r="I29" s="11"/>
      <c r="J29" s="11"/>
      <c r="K29" s="11"/>
      <c r="L29" s="11"/>
    </row>
    <row r="30" spans="1:12" x14ac:dyDescent="0.15">
      <c r="A30" s="4" t="s">
        <v>26</v>
      </c>
      <c r="B30" s="3">
        <f>B28*1.1</f>
        <v>1.1741216666666667</v>
      </c>
      <c r="H30" s="11"/>
      <c r="I30" s="11"/>
      <c r="J30" s="11"/>
      <c r="K30" s="11"/>
      <c r="L30" s="11"/>
    </row>
    <row r="31" spans="1:12" x14ac:dyDescent="0.15">
      <c r="A31" t="s">
        <v>28</v>
      </c>
      <c r="H31" s="11"/>
      <c r="I31" s="11"/>
      <c r="J31" s="11"/>
      <c r="K31" s="11"/>
      <c r="L31" s="11"/>
    </row>
    <row r="32" spans="1:12" x14ac:dyDescent="0.15">
      <c r="A32" s="4" t="s">
        <v>29</v>
      </c>
      <c r="B32" s="3">
        <f>B20*(B5*(1-C9)+B15)/(B3/2)</f>
        <v>0.85316666666666674</v>
      </c>
      <c r="H32" s="11"/>
      <c r="I32" s="11"/>
      <c r="J32" s="11"/>
      <c r="K32" s="11"/>
      <c r="L32" s="11"/>
    </row>
    <row r="33" spans="1:12" x14ac:dyDescent="0.15">
      <c r="H33" s="11"/>
      <c r="I33" s="11"/>
      <c r="J33" s="11"/>
      <c r="K33" s="11"/>
      <c r="L33" s="11"/>
    </row>
    <row r="34" spans="1:12" x14ac:dyDescent="0.15">
      <c r="A34" s="4" t="s">
        <v>30</v>
      </c>
      <c r="H34" s="11"/>
      <c r="I34" s="11"/>
      <c r="J34" s="11"/>
      <c r="K34" s="11"/>
      <c r="L34" s="11"/>
    </row>
    <row r="35" spans="1:12" x14ac:dyDescent="0.15">
      <c r="A35" s="6" t="s">
        <v>31</v>
      </c>
      <c r="H35" s="11"/>
      <c r="I35" s="11"/>
      <c r="J35" s="11"/>
      <c r="K35" s="11"/>
      <c r="L35" s="11"/>
    </row>
    <row r="36" spans="1:12" x14ac:dyDescent="0.15">
      <c r="A36" s="6" t="s">
        <v>32</v>
      </c>
      <c r="H36" s="11"/>
      <c r="I36" s="11"/>
      <c r="J36" s="11"/>
      <c r="K36" s="11"/>
      <c r="L36" s="11"/>
    </row>
    <row r="37" spans="1:12" x14ac:dyDescent="0.15">
      <c r="A37" s="6" t="s">
        <v>33</v>
      </c>
      <c r="H37" s="11"/>
      <c r="I37" s="11"/>
      <c r="J37" s="11"/>
      <c r="K37" s="11"/>
      <c r="L37" s="11"/>
    </row>
    <row r="38" spans="1:12" x14ac:dyDescent="0.15">
      <c r="A38" s="6" t="s">
        <v>34</v>
      </c>
      <c r="H38" s="11"/>
      <c r="I38" s="11"/>
      <c r="J38" s="11"/>
      <c r="K38" s="11"/>
      <c r="L38" s="11"/>
    </row>
    <row r="39" spans="1:12" x14ac:dyDescent="0.15">
      <c r="A39" s="6" t="s">
        <v>35</v>
      </c>
      <c r="B39" s="1">
        <v>5.5</v>
      </c>
      <c r="I39" s="11"/>
      <c r="J39" s="11"/>
      <c r="K39" s="11"/>
      <c r="L39" s="11"/>
    </row>
    <row r="40" spans="1:12" ht="14.25" thickBot="1" x14ac:dyDescent="0.2">
      <c r="A40" s="6" t="s">
        <v>36</v>
      </c>
      <c r="B40" s="1">
        <v>0.4</v>
      </c>
      <c r="I40" s="11"/>
      <c r="J40" s="11"/>
      <c r="K40" s="11"/>
      <c r="L40" s="11"/>
    </row>
    <row r="41" spans="1:12" x14ac:dyDescent="0.15">
      <c r="E41" s="7" t="s">
        <v>37</v>
      </c>
      <c r="F41" s="8" t="s">
        <v>36</v>
      </c>
      <c r="G41" s="8" t="s">
        <v>39</v>
      </c>
      <c r="H41" s="9" t="s">
        <v>38</v>
      </c>
      <c r="I41" s="11"/>
      <c r="J41" s="11"/>
      <c r="K41" s="11"/>
      <c r="L41" s="11"/>
    </row>
    <row r="42" spans="1:12" x14ac:dyDescent="0.15">
      <c r="E42" s="10">
        <f>ABS(H42*G42^2)/(SQRT(((1+H42)*G42^2-1)^2+(F42*H42*G42*(G42^2-1))^2))</f>
        <v>5.7289744608085127E-2</v>
      </c>
      <c r="F42" s="11">
        <v>0.4</v>
      </c>
      <c r="G42" s="11">
        <v>0.1</v>
      </c>
      <c r="H42" s="12">
        <v>5.5</v>
      </c>
      <c r="I42" s="11"/>
      <c r="J42" s="11"/>
      <c r="K42" s="11"/>
      <c r="L42" s="11"/>
    </row>
    <row r="43" spans="1:12" x14ac:dyDescent="0.15">
      <c r="E43" s="10">
        <f t="shared" ref="E43:E61" si="0">ABS(H43*G43^2)/(SQRT(((1+H43)*G43^2-1)^2+(F43*H43*G43*(G43^2-1))^2))</f>
        <v>0.25819502040725345</v>
      </c>
      <c r="F43" s="11">
        <f>F42</f>
        <v>0.4</v>
      </c>
      <c r="G43" s="11">
        <v>0.2</v>
      </c>
      <c r="H43" s="12">
        <f>H42</f>
        <v>5.5</v>
      </c>
      <c r="I43" s="11"/>
      <c r="J43" s="11"/>
      <c r="K43" s="11"/>
      <c r="L43" s="11"/>
    </row>
    <row r="44" spans="1:12" x14ac:dyDescent="0.15">
      <c r="E44" s="10">
        <f t="shared" si="0"/>
        <v>0.67805333472996865</v>
      </c>
      <c r="F44" s="11">
        <f t="shared" ref="F44:F61" si="1">F43</f>
        <v>0.4</v>
      </c>
      <c r="G44" s="11">
        <v>0.3</v>
      </c>
      <c r="H44" s="12">
        <f t="shared" ref="H44:H61" si="2">H43</f>
        <v>5.5</v>
      </c>
      <c r="I44" s="11"/>
      <c r="J44" s="11"/>
      <c r="K44" s="11"/>
      <c r="L44" s="11"/>
    </row>
    <row r="45" spans="1:12" x14ac:dyDescent="0.15">
      <c r="E45" s="10">
        <f t="shared" si="0"/>
        <v>1.1887370514666711</v>
      </c>
      <c r="F45" s="11">
        <f t="shared" si="1"/>
        <v>0.4</v>
      </c>
      <c r="G45" s="11">
        <v>0.4</v>
      </c>
      <c r="H45" s="12">
        <f t="shared" si="2"/>
        <v>5.5</v>
      </c>
      <c r="I45" s="11"/>
      <c r="J45" s="11"/>
      <c r="K45" s="11"/>
      <c r="L45" s="11"/>
    </row>
    <row r="46" spans="1:12" x14ac:dyDescent="0.15">
      <c r="E46" s="10">
        <f t="shared" si="0"/>
        <v>1.3284869135900172</v>
      </c>
      <c r="F46" s="11">
        <f t="shared" si="1"/>
        <v>0.4</v>
      </c>
      <c r="G46" s="11">
        <v>0.5</v>
      </c>
      <c r="H46" s="12">
        <f t="shared" si="2"/>
        <v>5.5</v>
      </c>
      <c r="I46" s="11"/>
      <c r="J46" s="11"/>
      <c r="K46" s="11"/>
      <c r="L46" s="11"/>
    </row>
    <row r="47" spans="1:12" x14ac:dyDescent="0.15">
      <c r="E47" s="10">
        <f t="shared" si="0"/>
        <v>1.2499424524489542</v>
      </c>
      <c r="F47" s="11">
        <f t="shared" si="1"/>
        <v>0.4</v>
      </c>
      <c r="G47" s="11">
        <v>0.6</v>
      </c>
      <c r="H47" s="12">
        <f t="shared" si="2"/>
        <v>5.5</v>
      </c>
      <c r="I47" s="11"/>
      <c r="J47" s="11"/>
      <c r="K47" s="11"/>
      <c r="L47" s="11"/>
    </row>
    <row r="48" spans="1:12" x14ac:dyDescent="0.15">
      <c r="E48" s="10">
        <f t="shared" si="0"/>
        <v>1.1607025949420542</v>
      </c>
      <c r="F48" s="11">
        <f t="shared" si="1"/>
        <v>0.4</v>
      </c>
      <c r="G48" s="11">
        <v>0.7</v>
      </c>
      <c r="H48" s="12">
        <f t="shared" si="2"/>
        <v>5.5</v>
      </c>
      <c r="I48" s="11"/>
      <c r="J48" s="11"/>
      <c r="K48" s="11"/>
      <c r="L48" s="11"/>
    </row>
    <row r="49" spans="1:13" x14ac:dyDescent="0.15">
      <c r="E49" s="10">
        <f t="shared" si="0"/>
        <v>1.0921859215941403</v>
      </c>
      <c r="F49" s="11">
        <f t="shared" si="1"/>
        <v>0.4</v>
      </c>
      <c r="G49" s="11">
        <v>0.8</v>
      </c>
      <c r="H49" s="12">
        <f t="shared" si="2"/>
        <v>5.5</v>
      </c>
      <c r="I49" s="11"/>
      <c r="J49" s="11"/>
      <c r="K49" s="11"/>
      <c r="L49" s="11"/>
    </row>
    <row r="50" spans="1:13" x14ac:dyDescent="0.15">
      <c r="E50" s="10">
        <f t="shared" si="0"/>
        <v>1.0405087300354372</v>
      </c>
      <c r="F50" s="11">
        <f t="shared" si="1"/>
        <v>0.4</v>
      </c>
      <c r="G50" s="11">
        <v>0.9</v>
      </c>
      <c r="H50" s="12">
        <f t="shared" si="2"/>
        <v>5.5</v>
      </c>
      <c r="I50" s="11"/>
      <c r="J50" s="11"/>
      <c r="K50" s="11"/>
      <c r="L50" s="11"/>
    </row>
    <row r="51" spans="1:13" x14ac:dyDescent="0.15">
      <c r="E51" s="10">
        <f t="shared" si="0"/>
        <v>1</v>
      </c>
      <c r="F51" s="11">
        <f t="shared" si="1"/>
        <v>0.4</v>
      </c>
      <c r="G51" s="11">
        <v>1</v>
      </c>
      <c r="H51" s="12">
        <f t="shared" si="2"/>
        <v>5.5</v>
      </c>
      <c r="I51" s="11"/>
      <c r="J51" s="11"/>
      <c r="K51" s="11"/>
      <c r="L51" s="11"/>
    </row>
    <row r="52" spans="1:13" x14ac:dyDescent="0.15">
      <c r="E52" s="10">
        <f t="shared" si="0"/>
        <v>0.96676468815459959</v>
      </c>
      <c r="F52" s="11">
        <f t="shared" si="1"/>
        <v>0.4</v>
      </c>
      <c r="G52" s="11">
        <v>1.1000000000000001</v>
      </c>
      <c r="H52" s="12">
        <f t="shared" si="2"/>
        <v>5.5</v>
      </c>
      <c r="I52" s="11"/>
      <c r="J52" s="11"/>
      <c r="K52" s="11"/>
      <c r="L52" s="11"/>
    </row>
    <row r="53" spans="1:13" x14ac:dyDescent="0.15">
      <c r="E53" s="10">
        <f t="shared" si="0"/>
        <v>0.93835362214170115</v>
      </c>
      <c r="F53" s="11">
        <f t="shared" si="1"/>
        <v>0.4</v>
      </c>
      <c r="G53" s="11">
        <v>1.2</v>
      </c>
      <c r="H53" s="12">
        <f t="shared" si="2"/>
        <v>5.5</v>
      </c>
      <c r="I53" s="11"/>
      <c r="J53" s="11"/>
      <c r="K53" s="11"/>
      <c r="L53" s="11"/>
    </row>
    <row r="54" spans="1:13" x14ac:dyDescent="0.15">
      <c r="E54" s="10">
        <f t="shared" si="0"/>
        <v>0.91323169639081236</v>
      </c>
      <c r="F54" s="11">
        <f t="shared" si="1"/>
        <v>0.4</v>
      </c>
      <c r="G54" s="11">
        <v>1.3</v>
      </c>
      <c r="H54" s="12">
        <f t="shared" si="2"/>
        <v>5.5</v>
      </c>
      <c r="I54" s="11"/>
      <c r="J54" s="11"/>
      <c r="K54" s="11"/>
      <c r="L54" s="11"/>
    </row>
    <row r="55" spans="1:13" x14ac:dyDescent="0.15">
      <c r="E55" s="10">
        <f t="shared" si="0"/>
        <v>0.89042187850792054</v>
      </c>
      <c r="F55" s="11">
        <f t="shared" si="1"/>
        <v>0.4</v>
      </c>
      <c r="G55" s="11">
        <v>1.4</v>
      </c>
      <c r="H55" s="12">
        <f t="shared" si="2"/>
        <v>5.5</v>
      </c>
      <c r="I55" s="11"/>
      <c r="J55" s="11"/>
      <c r="K55" s="11"/>
      <c r="L55" s="11"/>
    </row>
    <row r="56" spans="1:13" x14ac:dyDescent="0.15">
      <c r="E56" s="10">
        <f t="shared" si="0"/>
        <v>0.86929104658336831</v>
      </c>
      <c r="F56" s="11">
        <f t="shared" si="1"/>
        <v>0.4</v>
      </c>
      <c r="G56" s="11">
        <v>1.5</v>
      </c>
      <c r="H56" s="12">
        <f t="shared" si="2"/>
        <v>5.5</v>
      </c>
      <c r="I56" s="11"/>
      <c r="J56" s="11"/>
      <c r="K56" s="11"/>
      <c r="L56" s="11"/>
    </row>
    <row r="57" spans="1:13" x14ac:dyDescent="0.15">
      <c r="E57" s="10">
        <f t="shared" si="0"/>
        <v>0.84942223835479391</v>
      </c>
      <c r="F57" s="11">
        <f t="shared" si="1"/>
        <v>0.4</v>
      </c>
      <c r="G57" s="11">
        <v>1.6</v>
      </c>
      <c r="H57" s="12">
        <f t="shared" si="2"/>
        <v>5.5</v>
      </c>
      <c r="I57" s="11"/>
      <c r="J57" s="11"/>
      <c r="K57" s="11"/>
      <c r="L57" s="11"/>
    </row>
    <row r="58" spans="1:13" x14ac:dyDescent="0.15">
      <c r="E58" s="10">
        <f t="shared" si="0"/>
        <v>0.83053716089726448</v>
      </c>
      <c r="F58" s="11">
        <f t="shared" si="1"/>
        <v>0.4</v>
      </c>
      <c r="G58" s="11">
        <v>1.7</v>
      </c>
      <c r="H58" s="12">
        <f t="shared" si="2"/>
        <v>5.5</v>
      </c>
      <c r="I58" s="11"/>
      <c r="J58" s="11"/>
      <c r="K58" s="11"/>
      <c r="L58" s="11"/>
    </row>
    <row r="59" spans="1:13" x14ac:dyDescent="0.15">
      <c r="E59" s="10">
        <f t="shared" si="0"/>
        <v>0.81244808596267482</v>
      </c>
      <c r="F59" s="11">
        <f t="shared" si="1"/>
        <v>0.4</v>
      </c>
      <c r="G59" s="11">
        <v>1.8</v>
      </c>
      <c r="H59" s="12">
        <f t="shared" si="2"/>
        <v>5.5</v>
      </c>
      <c r="I59" s="11"/>
      <c r="J59" s="11"/>
      <c r="K59" s="11"/>
      <c r="L59" s="11"/>
    </row>
    <row r="60" spans="1:13" x14ac:dyDescent="0.15">
      <c r="E60" s="10">
        <f t="shared" si="0"/>
        <v>0.79502728357862928</v>
      </c>
      <c r="F60" s="11">
        <f t="shared" si="1"/>
        <v>0.4</v>
      </c>
      <c r="G60" s="11">
        <v>1.9</v>
      </c>
      <c r="H60" s="12">
        <f t="shared" si="2"/>
        <v>5.5</v>
      </c>
      <c r="I60" s="11"/>
      <c r="J60" s="11"/>
      <c r="K60" s="11"/>
      <c r="L60" s="11"/>
    </row>
    <row r="61" spans="1:13" ht="14.25" thickBot="1" x14ac:dyDescent="0.2">
      <c r="E61" s="13">
        <f t="shared" si="0"/>
        <v>0.7781871860495424</v>
      </c>
      <c r="F61" s="14">
        <f t="shared" si="1"/>
        <v>0.4</v>
      </c>
      <c r="G61" s="14">
        <v>2</v>
      </c>
      <c r="H61" s="15">
        <f t="shared" si="2"/>
        <v>5.5</v>
      </c>
    </row>
    <row r="62" spans="1:13" ht="14.25" thickBot="1" x14ac:dyDescent="0.2"/>
    <row r="63" spans="1:13" x14ac:dyDescent="0.15">
      <c r="A63" s="4" t="s">
        <v>40</v>
      </c>
      <c r="E63" s="7" t="s">
        <v>37</v>
      </c>
      <c r="F63" s="8" t="s">
        <v>36</v>
      </c>
      <c r="G63" s="8" t="s">
        <v>39</v>
      </c>
      <c r="H63" s="9" t="s">
        <v>38</v>
      </c>
      <c r="J63" s="7" t="s">
        <v>37</v>
      </c>
      <c r="K63" s="8" t="s">
        <v>36</v>
      </c>
      <c r="L63" s="8" t="s">
        <v>39</v>
      </c>
      <c r="M63" s="9" t="s">
        <v>38</v>
      </c>
    </row>
    <row r="64" spans="1:13" ht="16.5" x14ac:dyDescent="0.15">
      <c r="A64" s="4" t="s">
        <v>41</v>
      </c>
      <c r="B64" s="2">
        <f>8*B20^2*B5/((PI())^2*B6)</f>
        <v>25.32016379222021</v>
      </c>
      <c r="C64" s="16" t="s">
        <v>46</v>
      </c>
      <c r="E64" s="10">
        <f>ABS(H64*G64^2)/(SQRT(((1+H64)*G64^2-1)^2+(F64*H64*G64*(G64^2-1))^2))</f>
        <v>5.7192604345251453E-2</v>
      </c>
      <c r="F64" s="11">
        <v>0.41299999999999998</v>
      </c>
      <c r="G64" s="11">
        <v>0.1</v>
      </c>
      <c r="H64" s="12">
        <v>5.5</v>
      </c>
      <c r="J64" s="10">
        <f>ABS(M64*L64^2)/(SQRT(((1+M64)*L64^2-1)^2+(K64*M64*L64*(L64^2-1))^2))</f>
        <v>5.6869479542434938E-2</v>
      </c>
      <c r="K64" s="11">
        <v>0.45400000000000001</v>
      </c>
      <c r="L64" s="11">
        <v>0.1</v>
      </c>
      <c r="M64" s="12">
        <v>5.5</v>
      </c>
    </row>
    <row r="65" spans="1:13" ht="16.5" x14ac:dyDescent="0.15">
      <c r="A65" t="s">
        <v>42</v>
      </c>
      <c r="B65" s="2">
        <f>8*B20^2*B5/((PI())^2*B6*1.1)</f>
        <v>23.01833072020019</v>
      </c>
      <c r="C65" s="16" t="s">
        <v>46</v>
      </c>
      <c r="E65" s="10">
        <f t="shared" ref="E65:E83" si="3">ABS(H65*G65^2)/(SQRT(((1+H65)*G65^2-1)^2+(F65*H65*G65*(G65^2-1))^2))</f>
        <v>0.25612449142237176</v>
      </c>
      <c r="F65" s="11">
        <f>F64</f>
        <v>0.41299999999999998</v>
      </c>
      <c r="G65" s="11">
        <v>0.2</v>
      </c>
      <c r="H65" s="12">
        <f>H64</f>
        <v>5.5</v>
      </c>
      <c r="J65" s="10">
        <f t="shared" ref="J65:J83" si="4">ABS(M65*L65^2)/(SQRT(((1+M65)*L65^2-1)^2+(K65*M65*L65*(L65^2-1))^2))</f>
        <v>0.2495095546077252</v>
      </c>
      <c r="K65" s="11">
        <f>K64</f>
        <v>0.45400000000000001</v>
      </c>
      <c r="L65" s="11">
        <v>0.2</v>
      </c>
      <c r="M65" s="12">
        <f>M64</f>
        <v>5.5</v>
      </c>
    </row>
    <row r="66" spans="1:13" x14ac:dyDescent="0.15">
      <c r="E66" s="10">
        <f t="shared" si="3"/>
        <v>0.66338559962924992</v>
      </c>
      <c r="F66" s="11">
        <f t="shared" ref="F66:F83" si="5">F65</f>
        <v>0.41299999999999998</v>
      </c>
      <c r="G66" s="11">
        <v>0.3</v>
      </c>
      <c r="H66" s="12">
        <f t="shared" ref="H66:H83" si="6">H65</f>
        <v>5.5</v>
      </c>
      <c r="J66" s="10">
        <f t="shared" si="4"/>
        <v>0.62024719111846827</v>
      </c>
      <c r="K66" s="11">
        <f t="shared" ref="K66:K83" si="7">K65</f>
        <v>0.45400000000000001</v>
      </c>
      <c r="L66" s="11">
        <v>0.3</v>
      </c>
      <c r="M66" s="12">
        <f t="shared" ref="M66:M83" si="8">M65</f>
        <v>5.5</v>
      </c>
    </row>
    <row r="67" spans="1:13" x14ac:dyDescent="0.15">
      <c r="A67" s="4" t="s">
        <v>43</v>
      </c>
      <c r="E67" s="10">
        <f t="shared" si="3"/>
        <v>1.1514233342749407</v>
      </c>
      <c r="F67" s="11">
        <f t="shared" si="5"/>
        <v>0.41299999999999998</v>
      </c>
      <c r="G67" s="11">
        <v>0.4</v>
      </c>
      <c r="H67" s="12">
        <f t="shared" si="6"/>
        <v>5.5</v>
      </c>
      <c r="J67" s="10">
        <f t="shared" si="4"/>
        <v>1.0476876662336432</v>
      </c>
      <c r="K67" s="11">
        <f t="shared" si="7"/>
        <v>0.45400000000000001</v>
      </c>
      <c r="L67" s="11">
        <v>0.4</v>
      </c>
      <c r="M67" s="12">
        <f t="shared" si="8"/>
        <v>5.5</v>
      </c>
    </row>
    <row r="68" spans="1:13" x14ac:dyDescent="0.15">
      <c r="A68" t="s">
        <v>45</v>
      </c>
      <c r="E68" s="10">
        <f t="shared" si="3"/>
        <v>1.3014570313487448</v>
      </c>
      <c r="F68" s="11">
        <f t="shared" si="5"/>
        <v>0.41299999999999998</v>
      </c>
      <c r="G68" s="11">
        <v>0.5</v>
      </c>
      <c r="H68" s="12">
        <f t="shared" si="6"/>
        <v>5.5</v>
      </c>
      <c r="J68" s="10">
        <f t="shared" si="4"/>
        <v>1.2213549082948285</v>
      </c>
      <c r="K68" s="11">
        <f t="shared" si="7"/>
        <v>0.45400000000000001</v>
      </c>
      <c r="L68" s="11">
        <v>0.5</v>
      </c>
      <c r="M68" s="12">
        <f t="shared" si="8"/>
        <v>5.5</v>
      </c>
    </row>
    <row r="69" spans="1:13" x14ac:dyDescent="0.15">
      <c r="A69" t="s">
        <v>53</v>
      </c>
      <c r="B69" s="2">
        <f>1/(2*PI()*B14*B40*B64)*1000000</f>
        <v>157.1424896753598</v>
      </c>
      <c r="C69" t="s">
        <v>47</v>
      </c>
      <c r="E69" s="10">
        <f t="shared" si="3"/>
        <v>1.2383636414747992</v>
      </c>
      <c r="F69" s="11">
        <f t="shared" si="5"/>
        <v>0.41299999999999998</v>
      </c>
      <c r="G69" s="11">
        <v>0.6</v>
      </c>
      <c r="H69" s="12">
        <f t="shared" si="6"/>
        <v>5.5</v>
      </c>
      <c r="J69" s="10">
        <f t="shared" si="4"/>
        <v>1.2016586419935646</v>
      </c>
      <c r="K69" s="11">
        <f t="shared" si="7"/>
        <v>0.45400000000000001</v>
      </c>
      <c r="L69" s="11">
        <v>0.6</v>
      </c>
      <c r="M69" s="12">
        <f t="shared" si="8"/>
        <v>5.5</v>
      </c>
    </row>
    <row r="70" spans="1:13" x14ac:dyDescent="0.15">
      <c r="A70" t="s">
        <v>57</v>
      </c>
      <c r="B70" s="1">
        <v>136</v>
      </c>
      <c r="C70" t="s">
        <v>58</v>
      </c>
      <c r="E70" s="10">
        <f t="shared" si="3"/>
        <v>1.1619777937747175</v>
      </c>
      <c r="F70" s="11">
        <f t="shared" si="5"/>
        <v>0.41299999999999998</v>
      </c>
      <c r="G70" s="11">
        <v>0.6925</v>
      </c>
      <c r="H70" s="12">
        <f t="shared" si="6"/>
        <v>5.5</v>
      </c>
      <c r="J70" s="10">
        <f t="shared" si="4"/>
        <v>1.1301583711779746</v>
      </c>
      <c r="K70" s="11">
        <f t="shared" si="7"/>
        <v>0.45400000000000001</v>
      </c>
      <c r="L70" s="11">
        <v>0.72</v>
      </c>
      <c r="M70" s="12">
        <f t="shared" si="8"/>
        <v>5.5</v>
      </c>
    </row>
    <row r="71" spans="1:13" x14ac:dyDescent="0.15">
      <c r="A71" t="s">
        <v>54</v>
      </c>
      <c r="B71" s="2">
        <f>1/((2*PI()*B14)^2*B70)*10^9</f>
        <v>18.625217581312089</v>
      </c>
      <c r="C71" t="s">
        <v>48</v>
      </c>
      <c r="E71" s="10">
        <f t="shared" si="3"/>
        <v>1.0907944060698174</v>
      </c>
      <c r="F71" s="11">
        <f t="shared" si="5"/>
        <v>0.41299999999999998</v>
      </c>
      <c r="G71" s="11">
        <v>0.8</v>
      </c>
      <c r="H71" s="12">
        <f t="shared" si="6"/>
        <v>5.5</v>
      </c>
      <c r="J71" s="10">
        <f t="shared" si="4"/>
        <v>1.0861530181017964</v>
      </c>
      <c r="K71" s="11">
        <f t="shared" si="7"/>
        <v>0.45400000000000001</v>
      </c>
      <c r="L71" s="11">
        <v>0.8</v>
      </c>
      <c r="M71" s="12">
        <f t="shared" si="8"/>
        <v>5.5</v>
      </c>
    </row>
    <row r="72" spans="1:13" x14ac:dyDescent="0.15">
      <c r="A72" t="s">
        <v>50</v>
      </c>
      <c r="B72" s="1">
        <v>20</v>
      </c>
      <c r="C72" t="s">
        <v>48</v>
      </c>
      <c r="E72" s="10">
        <f t="shared" si="3"/>
        <v>1.0402435155746783</v>
      </c>
      <c r="F72" s="11">
        <f t="shared" si="5"/>
        <v>0.41299999999999998</v>
      </c>
      <c r="G72" s="11">
        <v>0.9</v>
      </c>
      <c r="H72" s="12">
        <f t="shared" si="6"/>
        <v>5.5</v>
      </c>
      <c r="J72" s="10">
        <f t="shared" si="4"/>
        <v>1.0393529985273862</v>
      </c>
      <c r="K72" s="11">
        <f t="shared" si="7"/>
        <v>0.45400000000000001</v>
      </c>
      <c r="L72" s="11">
        <v>0.9</v>
      </c>
      <c r="M72" s="12">
        <f t="shared" si="8"/>
        <v>5.5</v>
      </c>
    </row>
    <row r="73" spans="1:13" x14ac:dyDescent="0.15">
      <c r="A73" t="s">
        <v>49</v>
      </c>
      <c r="B73" s="2">
        <f>B72*B39</f>
        <v>110</v>
      </c>
      <c r="C73" t="s">
        <v>48</v>
      </c>
      <c r="E73" s="10">
        <f t="shared" si="3"/>
        <v>1</v>
      </c>
      <c r="F73" s="11">
        <f t="shared" si="5"/>
        <v>0.41299999999999998</v>
      </c>
      <c r="G73" s="11">
        <v>1</v>
      </c>
      <c r="H73" s="12">
        <f t="shared" si="6"/>
        <v>5.5</v>
      </c>
      <c r="J73" s="10">
        <f t="shared" si="4"/>
        <v>1</v>
      </c>
      <c r="K73" s="11">
        <f t="shared" si="7"/>
        <v>0.45400000000000001</v>
      </c>
      <c r="L73" s="11">
        <v>1</v>
      </c>
      <c r="M73" s="12">
        <f t="shared" si="8"/>
        <v>5.5</v>
      </c>
    </row>
    <row r="74" spans="1:13" x14ac:dyDescent="0.15">
      <c r="E74" s="10">
        <f t="shared" si="3"/>
        <v>0.96659070699890359</v>
      </c>
      <c r="F74" s="11">
        <f t="shared" si="5"/>
        <v>0.41299999999999998</v>
      </c>
      <c r="G74" s="11">
        <v>1.1000000000000001</v>
      </c>
      <c r="H74" s="12">
        <f t="shared" si="6"/>
        <v>5.5</v>
      </c>
      <c r="J74" s="10">
        <f t="shared" si="4"/>
        <v>0.96600624002114677</v>
      </c>
      <c r="K74" s="11">
        <f t="shared" si="7"/>
        <v>0.45400000000000001</v>
      </c>
      <c r="L74" s="11">
        <v>1.1000000000000001</v>
      </c>
      <c r="M74" s="12">
        <f t="shared" si="8"/>
        <v>5.5</v>
      </c>
    </row>
    <row r="75" spans="1:13" x14ac:dyDescent="0.15">
      <c r="A75" s="4" t="s">
        <v>51</v>
      </c>
      <c r="E75" s="10">
        <f t="shared" si="3"/>
        <v>0.92978510214151966</v>
      </c>
      <c r="F75" s="11">
        <f t="shared" si="5"/>
        <v>0.41299999999999998</v>
      </c>
      <c r="G75" s="11">
        <v>1.23</v>
      </c>
      <c r="H75" s="12">
        <f t="shared" si="6"/>
        <v>5.5</v>
      </c>
      <c r="J75" s="10">
        <f t="shared" si="4"/>
        <v>0.94159743507520233</v>
      </c>
      <c r="K75" s="11">
        <f t="shared" si="7"/>
        <v>0.45400000000000001</v>
      </c>
      <c r="L75" s="11">
        <v>1.18</v>
      </c>
      <c r="M75" s="12">
        <f t="shared" si="8"/>
        <v>5.5</v>
      </c>
    </row>
    <row r="76" spans="1:13" x14ac:dyDescent="0.15">
      <c r="A76" t="s">
        <v>52</v>
      </c>
      <c r="E76" s="10">
        <f t="shared" si="3"/>
        <v>0.91209994664422867</v>
      </c>
      <c r="F76" s="11">
        <f t="shared" si="5"/>
        <v>0.41299999999999998</v>
      </c>
      <c r="G76" s="11">
        <v>1.3</v>
      </c>
      <c r="H76" s="12">
        <f t="shared" si="6"/>
        <v>5.5</v>
      </c>
      <c r="J76" s="10">
        <f t="shared" si="4"/>
        <v>0.92453040138500053</v>
      </c>
      <c r="K76" s="11">
        <f t="shared" si="7"/>
        <v>0.45400000000000001</v>
      </c>
      <c r="L76" s="11">
        <v>1.24</v>
      </c>
      <c r="M76" s="12">
        <f t="shared" si="8"/>
        <v>5.5</v>
      </c>
    </row>
    <row r="77" spans="1:13" x14ac:dyDescent="0.15">
      <c r="A77" s="4" t="s">
        <v>55</v>
      </c>
      <c r="B77" s="2">
        <f>1/(2*PI()*SQRT(B69*10^(-6)*B72*10^(-9)))/1000</f>
        <v>89.775600554140283</v>
      </c>
      <c r="C77" t="s">
        <v>56</v>
      </c>
      <c r="E77" s="10">
        <f t="shared" si="3"/>
        <v>0.88867285079973501</v>
      </c>
      <c r="F77" s="11">
        <f t="shared" si="5"/>
        <v>0.41299999999999998</v>
      </c>
      <c r="G77" s="11">
        <v>1.4</v>
      </c>
      <c r="H77" s="12">
        <f t="shared" si="6"/>
        <v>5.5</v>
      </c>
      <c r="J77" s="10">
        <f t="shared" si="4"/>
        <v>0.88286505446113328</v>
      </c>
      <c r="K77" s="11">
        <f t="shared" si="7"/>
        <v>0.45400000000000001</v>
      </c>
      <c r="L77" s="11">
        <v>1.4</v>
      </c>
      <c r="M77" s="12">
        <f t="shared" si="8"/>
        <v>5.5</v>
      </c>
    </row>
    <row r="78" spans="1:13" x14ac:dyDescent="0.15">
      <c r="A78" s="4" t="s">
        <v>59</v>
      </c>
      <c r="B78" s="2">
        <f>SQRT(B72*10^(-6)/(B70*10^(-9)))/B64</f>
        <v>0.47893770953972586</v>
      </c>
      <c r="E78" s="10">
        <f t="shared" si="3"/>
        <v>0.8668903622033407</v>
      </c>
      <c r="F78" s="11">
        <f t="shared" si="5"/>
        <v>0.41299999999999998</v>
      </c>
      <c r="G78" s="11">
        <v>1.5</v>
      </c>
      <c r="H78" s="12">
        <f t="shared" si="6"/>
        <v>5.5</v>
      </c>
      <c r="J78" s="10">
        <f t="shared" si="4"/>
        <v>0.85895966625339115</v>
      </c>
      <c r="K78" s="11">
        <f t="shared" si="7"/>
        <v>0.45400000000000001</v>
      </c>
      <c r="L78" s="11">
        <v>1.5</v>
      </c>
      <c r="M78" s="12">
        <f t="shared" si="8"/>
        <v>5.5</v>
      </c>
    </row>
    <row r="79" spans="1:13" x14ac:dyDescent="0.15">
      <c r="A79" s="4" t="s">
        <v>60</v>
      </c>
      <c r="B79" s="2">
        <f>SQRT(B72*10^(-6)/(B70*10^(-9)))/B65</f>
        <v>0.52683148049369843</v>
      </c>
      <c r="E79" s="10">
        <f t="shared" si="3"/>
        <v>0.84636005912637458</v>
      </c>
      <c r="F79" s="11">
        <f t="shared" si="5"/>
        <v>0.41299999999999998</v>
      </c>
      <c r="G79" s="11">
        <v>1.6</v>
      </c>
      <c r="H79" s="12">
        <f t="shared" si="6"/>
        <v>5.5</v>
      </c>
      <c r="J79" s="10">
        <f t="shared" si="4"/>
        <v>0.83629886729762137</v>
      </c>
      <c r="K79" s="11">
        <f t="shared" si="7"/>
        <v>0.45400000000000001</v>
      </c>
      <c r="L79" s="11">
        <v>1.6</v>
      </c>
      <c r="M79" s="12">
        <f t="shared" si="8"/>
        <v>5.5</v>
      </c>
    </row>
    <row r="80" spans="1:13" x14ac:dyDescent="0.15">
      <c r="E80" s="10">
        <f t="shared" si="3"/>
        <v>0.82682023566920637</v>
      </c>
      <c r="F80" s="11">
        <f t="shared" si="5"/>
        <v>0.41299999999999998</v>
      </c>
      <c r="G80" s="11">
        <v>1.7</v>
      </c>
      <c r="H80" s="12">
        <f t="shared" si="6"/>
        <v>5.5</v>
      </c>
      <c r="J80" s="10">
        <f t="shared" si="4"/>
        <v>0.81467570787021648</v>
      </c>
      <c r="K80" s="11">
        <f t="shared" si="7"/>
        <v>0.45400000000000001</v>
      </c>
      <c r="L80" s="11">
        <v>1.7</v>
      </c>
      <c r="M80" s="12">
        <f t="shared" si="8"/>
        <v>5.5</v>
      </c>
    </row>
    <row r="81" spans="1:13" x14ac:dyDescent="0.15">
      <c r="A81" s="6" t="s">
        <v>117</v>
      </c>
      <c r="E81" s="10">
        <f t="shared" si="3"/>
        <v>0.80809457066689006</v>
      </c>
      <c r="F81" s="11">
        <f t="shared" si="5"/>
        <v>0.41299999999999998</v>
      </c>
      <c r="G81" s="11">
        <v>1.8</v>
      </c>
      <c r="H81" s="12">
        <f t="shared" si="6"/>
        <v>5.5</v>
      </c>
      <c r="J81" s="10">
        <f t="shared" si="4"/>
        <v>0.79394999047505266</v>
      </c>
      <c r="K81" s="11">
        <f t="shared" si="7"/>
        <v>0.45400000000000001</v>
      </c>
      <c r="L81" s="11">
        <v>1.8</v>
      </c>
      <c r="M81" s="12">
        <f t="shared" si="8"/>
        <v>5.5</v>
      </c>
    </row>
    <row r="82" spans="1:13" x14ac:dyDescent="0.15">
      <c r="A82" s="4" t="s">
        <v>115</v>
      </c>
      <c r="B82" s="1">
        <v>1.23</v>
      </c>
      <c r="E82" s="10">
        <f t="shared" si="3"/>
        <v>0.79006317395720538</v>
      </c>
      <c r="F82" s="11">
        <f t="shared" si="5"/>
        <v>0.41299999999999998</v>
      </c>
      <c r="G82" s="11">
        <v>1.9</v>
      </c>
      <c r="H82" s="12">
        <f t="shared" si="6"/>
        <v>5.5</v>
      </c>
      <c r="J82" s="10">
        <f t="shared" si="4"/>
        <v>0.77402520666110453</v>
      </c>
      <c r="K82" s="11">
        <f t="shared" si="7"/>
        <v>0.45400000000000001</v>
      </c>
      <c r="L82" s="11">
        <v>1.9</v>
      </c>
      <c r="M82" s="12">
        <f t="shared" si="8"/>
        <v>5.5</v>
      </c>
    </row>
    <row r="83" spans="1:13" ht="14.25" thickBot="1" x14ac:dyDescent="0.2">
      <c r="A83" s="4" t="s">
        <v>61</v>
      </c>
      <c r="B83" s="2">
        <f>B77*B82</f>
        <v>110.42398868159255</v>
      </c>
      <c r="C83" t="s">
        <v>56</v>
      </c>
      <c r="E83" s="13">
        <f t="shared" si="3"/>
        <v>0.77264375428348886</v>
      </c>
      <c r="F83" s="14">
        <f t="shared" si="5"/>
        <v>0.41299999999999998</v>
      </c>
      <c r="G83" s="14">
        <v>2</v>
      </c>
      <c r="H83" s="15">
        <f t="shared" si="6"/>
        <v>5.5</v>
      </c>
      <c r="J83" s="13">
        <f t="shared" si="4"/>
        <v>0.75483343943421566</v>
      </c>
      <c r="K83" s="14">
        <f t="shared" si="7"/>
        <v>0.45400000000000001</v>
      </c>
      <c r="L83" s="14">
        <v>2</v>
      </c>
      <c r="M83" s="15">
        <f t="shared" si="8"/>
        <v>5.5</v>
      </c>
    </row>
    <row r="84" spans="1:13" x14ac:dyDescent="0.15">
      <c r="A84" s="4" t="s">
        <v>116</v>
      </c>
      <c r="B84" s="1">
        <v>0.72</v>
      </c>
    </row>
    <row r="85" spans="1:13" x14ac:dyDescent="0.15">
      <c r="A85" s="4" t="s">
        <v>62</v>
      </c>
      <c r="B85" s="2">
        <f>B84*B77</f>
        <v>64.638432398980996</v>
      </c>
      <c r="C85" t="s">
        <v>56</v>
      </c>
    </row>
    <row r="87" spans="1:13" x14ac:dyDescent="0.15">
      <c r="A87" s="4" t="s">
        <v>63</v>
      </c>
    </row>
    <row r="88" spans="1:13" x14ac:dyDescent="0.15">
      <c r="A88" s="6" t="s">
        <v>64</v>
      </c>
    </row>
    <row r="89" spans="1:13" ht="16.5" x14ac:dyDescent="0.15">
      <c r="A89" s="4" t="s">
        <v>65</v>
      </c>
      <c r="B89" s="2">
        <f>PI()*B6*1.1/(2*SQRT(2)*B20)</f>
        <v>6.9816731885345762</v>
      </c>
      <c r="C89" t="s">
        <v>66</v>
      </c>
    </row>
    <row r="90" spans="1:13" x14ac:dyDescent="0.15">
      <c r="A90" s="6" t="s">
        <v>67</v>
      </c>
    </row>
    <row r="91" spans="1:13" x14ac:dyDescent="0.15">
      <c r="A91" s="4" t="s">
        <v>68</v>
      </c>
      <c r="B91" s="2">
        <f>2*SQRT(2)/PI()*B20*B5/(2*PI()*B85*10^3*B73*10^(-6))</f>
        <v>3.5972446245031633</v>
      </c>
      <c r="C91" t="s">
        <v>66</v>
      </c>
    </row>
    <row r="92" spans="1:13" x14ac:dyDescent="0.15">
      <c r="A92" s="6" t="s">
        <v>70</v>
      </c>
    </row>
    <row r="93" spans="1:13" ht="16.5" x14ac:dyDescent="0.15">
      <c r="A93" s="4" t="s">
        <v>103</v>
      </c>
      <c r="B93" s="2">
        <f>SQRT(B91^2+B89^2)</f>
        <v>7.853911726013953</v>
      </c>
      <c r="C93" t="s">
        <v>66</v>
      </c>
    </row>
    <row r="94" spans="1:13" x14ac:dyDescent="0.15">
      <c r="A94" s="6" t="s">
        <v>69</v>
      </c>
    </row>
    <row r="96" spans="1:13" x14ac:dyDescent="0.15">
      <c r="A96" t="s">
        <v>71</v>
      </c>
    </row>
    <row r="97" spans="1:3" x14ac:dyDescent="0.15">
      <c r="A97" t="s">
        <v>72</v>
      </c>
    </row>
    <row r="98" spans="1:3" ht="16.5" x14ac:dyDescent="0.15">
      <c r="A98" s="4" t="s">
        <v>73</v>
      </c>
      <c r="B98" s="2">
        <f>B20*B89</f>
        <v>24.435856159871015</v>
      </c>
      <c r="C98" t="s">
        <v>66</v>
      </c>
    </row>
    <row r="99" spans="1:3" x14ac:dyDescent="0.15">
      <c r="A99" t="s">
        <v>74</v>
      </c>
    </row>
    <row r="100" spans="1:3" ht="16.5" x14ac:dyDescent="0.15">
      <c r="A100" s="4" t="s">
        <v>75</v>
      </c>
      <c r="B100" s="2">
        <f>SQRT(2)*B98/2</f>
        <v>17.278759594743864</v>
      </c>
      <c r="C100" t="s">
        <v>66</v>
      </c>
    </row>
    <row r="101" spans="1:3" ht="16.5" x14ac:dyDescent="0.15">
      <c r="A101" s="4" t="s">
        <v>76</v>
      </c>
      <c r="B101" s="2">
        <f>SQRT(2)*B98/PI()</f>
        <v>11.000000000000002</v>
      </c>
      <c r="C101" t="s">
        <v>66</v>
      </c>
    </row>
    <row r="103" spans="1:3" x14ac:dyDescent="0.15">
      <c r="A103" s="4" t="s">
        <v>77</v>
      </c>
    </row>
    <row r="104" spans="1:3" x14ac:dyDescent="0.15">
      <c r="A104" s="4"/>
    </row>
    <row r="105" spans="1:3" x14ac:dyDescent="0.15">
      <c r="A105" s="4"/>
    </row>
    <row r="110" spans="1:3" x14ac:dyDescent="0.15">
      <c r="A110" t="s">
        <v>78</v>
      </c>
    </row>
    <row r="111" spans="1:3" x14ac:dyDescent="0.15">
      <c r="A111" s="4" t="s">
        <v>79</v>
      </c>
      <c r="B111" s="1">
        <v>110</v>
      </c>
      <c r="C111" t="s">
        <v>80</v>
      </c>
    </row>
    <row r="112" spans="1:3" x14ac:dyDescent="0.15">
      <c r="A112" t="s">
        <v>81</v>
      </c>
      <c r="B112" s="2">
        <f>4/(PI()*SQRT(2))*B20*B5/(2*PI()*B83*1000*B73*10^(-6))</f>
        <v>2.1057041704408754</v>
      </c>
      <c r="C112" t="s">
        <v>66</v>
      </c>
    </row>
    <row r="117" spans="1:3" x14ac:dyDescent="0.15">
      <c r="A117" t="s">
        <v>82</v>
      </c>
    </row>
    <row r="118" spans="1:3" x14ac:dyDescent="0.15">
      <c r="A118" s="17" t="s">
        <v>83</v>
      </c>
      <c r="B118" s="2">
        <f>0.5*(B73+B72)*10^(-6)*(SQRT(2)*B112)^2</f>
        <v>5.7641870694357246E-4</v>
      </c>
      <c r="C118" t="s">
        <v>86</v>
      </c>
    </row>
    <row r="121" spans="1:3" x14ac:dyDescent="0.15">
      <c r="A121" s="17" t="s">
        <v>83</v>
      </c>
      <c r="B121" s="2">
        <f>0.5*(2*B111*10^(-12)*2)*B3^2</f>
        <v>3.8807999999999998E-5</v>
      </c>
      <c r="C121" t="s">
        <v>86</v>
      </c>
    </row>
    <row r="123" spans="1:3" x14ac:dyDescent="0.15">
      <c r="A123" t="s">
        <v>84</v>
      </c>
      <c r="B123" s="2">
        <f>16*(B111+B111)*10^(-12)*B83*10^3*B73*10^(-6)*10^9</f>
        <v>42.756168417512626</v>
      </c>
      <c r="C123" t="s">
        <v>85</v>
      </c>
    </row>
    <row r="124" spans="1:3" x14ac:dyDescent="0.15">
      <c r="A124" t="s">
        <v>87</v>
      </c>
      <c r="B124" s="1">
        <v>100</v>
      </c>
      <c r="C124" t="s">
        <v>85</v>
      </c>
    </row>
    <row r="126" spans="1:3" x14ac:dyDescent="0.15">
      <c r="A126" s="4" t="s">
        <v>88</v>
      </c>
    </row>
    <row r="127" spans="1:3" ht="15.75" x14ac:dyDescent="0.15">
      <c r="A127" t="s">
        <v>89</v>
      </c>
      <c r="B127" s="1">
        <v>201</v>
      </c>
      <c r="C127" t="s">
        <v>118</v>
      </c>
    </row>
    <row r="128" spans="1:3" x14ac:dyDescent="0.15">
      <c r="A128" t="s">
        <v>93</v>
      </c>
      <c r="B128" s="1">
        <v>0.5</v>
      </c>
    </row>
    <row r="129" spans="1:4" x14ac:dyDescent="0.15">
      <c r="A129" t="s">
        <v>90</v>
      </c>
      <c r="B129" s="2">
        <f>B20*(B5+0.7)/(2*B85*B127*B128)*1000</f>
        <v>13.927453417529007</v>
      </c>
    </row>
    <row r="131" spans="1:4" x14ac:dyDescent="0.15">
      <c r="A131" t="s">
        <v>91</v>
      </c>
      <c r="B131" s="1">
        <v>4</v>
      </c>
    </row>
    <row r="132" spans="1:4" x14ac:dyDescent="0.15">
      <c r="A132" t="s">
        <v>92</v>
      </c>
      <c r="B132" s="2">
        <f>B131*B20</f>
        <v>14</v>
      </c>
    </row>
    <row r="134" spans="1:4" x14ac:dyDescent="0.15">
      <c r="A134" t="s">
        <v>94</v>
      </c>
      <c r="B134" s="1">
        <v>5</v>
      </c>
    </row>
    <row r="135" spans="1:4" x14ac:dyDescent="0.15">
      <c r="A135" t="s">
        <v>95</v>
      </c>
      <c r="B135" s="1">
        <v>0.1</v>
      </c>
    </row>
    <row r="136" spans="1:4" ht="15.75" x14ac:dyDescent="0.15">
      <c r="A136" t="s">
        <v>96</v>
      </c>
      <c r="B136" s="2">
        <f>B93/B134</f>
        <v>1.5707823452027907</v>
      </c>
    </row>
    <row r="137" spans="1:4" x14ac:dyDescent="0.15">
      <c r="A137" t="s">
        <v>97</v>
      </c>
      <c r="B137" s="2">
        <f>B136/(PI()*(B135/2)^2)</f>
        <v>199.99821980840323</v>
      </c>
      <c r="C137">
        <v>200</v>
      </c>
    </row>
    <row r="139" spans="1:4" ht="15.75" x14ac:dyDescent="0.15">
      <c r="A139" t="s">
        <v>98</v>
      </c>
      <c r="B139" s="2">
        <f>B100/B134</f>
        <v>3.4557519189487729</v>
      </c>
    </row>
    <row r="140" spans="1:4" x14ac:dyDescent="0.15">
      <c r="A140" t="s">
        <v>99</v>
      </c>
      <c r="B140" s="2">
        <f>B139/(PI()*(B135/2)^2)</f>
        <v>440</v>
      </c>
      <c r="C140">
        <v>450</v>
      </c>
    </row>
    <row r="142" spans="1:4" x14ac:dyDescent="0.15">
      <c r="A142" t="s">
        <v>100</v>
      </c>
      <c r="B142" s="1">
        <v>0.2</v>
      </c>
    </row>
    <row r="143" spans="1:4" ht="15.75" x14ac:dyDescent="0.15">
      <c r="A143" t="s">
        <v>101</v>
      </c>
      <c r="B143" s="2">
        <f>PI()*(B135/2)^2*(C137*B132+C140*B131*2)/B142</f>
        <v>251.32741228718348</v>
      </c>
      <c r="D143" t="s">
        <v>102</v>
      </c>
    </row>
    <row r="145" spans="1:4" x14ac:dyDescent="0.15">
      <c r="A145" s="4" t="s">
        <v>104</v>
      </c>
    </row>
    <row r="146" spans="1:4" x14ac:dyDescent="0.15">
      <c r="A146" s="6" t="s">
        <v>105</v>
      </c>
      <c r="B146" s="1">
        <v>0.15</v>
      </c>
    </row>
    <row r="147" spans="1:4" ht="15.75" x14ac:dyDescent="0.15">
      <c r="A147" s="6" t="s">
        <v>106</v>
      </c>
      <c r="B147" s="1">
        <v>170</v>
      </c>
      <c r="C147" t="s">
        <v>119</v>
      </c>
    </row>
    <row r="148" spans="1:4" ht="16.5" x14ac:dyDescent="0.15">
      <c r="A148" s="6" t="s">
        <v>107</v>
      </c>
      <c r="B148" s="2">
        <f>B93*SQRT(2)</f>
        <v>11.107108480610018</v>
      </c>
    </row>
    <row r="149" spans="1:4" x14ac:dyDescent="0.15">
      <c r="A149" s="6" t="s">
        <v>108</v>
      </c>
      <c r="B149" s="2">
        <f>B72*10^(-6)*B148/(B147*B146*10^(-6))</f>
        <v>8.711457631850994</v>
      </c>
      <c r="C149">
        <v>12</v>
      </c>
    </row>
    <row r="150" spans="1:4" ht="15.75" x14ac:dyDescent="0.15">
      <c r="A150" s="6" t="s">
        <v>109</v>
      </c>
      <c r="B150" s="2">
        <f>B136</f>
        <v>1.5707823452027907</v>
      </c>
    </row>
    <row r="151" spans="1:4" x14ac:dyDescent="0.15">
      <c r="A151" s="6" t="s">
        <v>110</v>
      </c>
      <c r="B151">
        <v>0.1</v>
      </c>
    </row>
    <row r="152" spans="1:4" x14ac:dyDescent="0.15">
      <c r="A152" s="6" t="s">
        <v>111</v>
      </c>
      <c r="B152" s="2">
        <f>C137</f>
        <v>200</v>
      </c>
      <c r="C152">
        <v>200</v>
      </c>
    </row>
    <row r="153" spans="1:4" x14ac:dyDescent="0.15">
      <c r="A153" s="6" t="s">
        <v>112</v>
      </c>
      <c r="B153" s="1">
        <v>0.3</v>
      </c>
    </row>
    <row r="154" spans="1:4" ht="15.75" x14ac:dyDescent="0.15">
      <c r="A154" s="6" t="s">
        <v>113</v>
      </c>
      <c r="B154" s="2">
        <f>PI()*(B151/2)^2*C152*C149/B153</f>
        <v>62.831853071795877</v>
      </c>
      <c r="D154" t="s">
        <v>102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xb21cn</cp:lastModifiedBy>
  <dcterms:created xsi:type="dcterms:W3CDTF">2019-08-06T01:02:53Z</dcterms:created>
  <dcterms:modified xsi:type="dcterms:W3CDTF">2019-08-16T09:35:33Z</dcterms:modified>
</cp:coreProperties>
</file>