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645" activeTab="0"/>
  </bookViews>
  <sheets>
    <sheet name="正激类变压器" sheetId="1" r:id="rId1"/>
    <sheet name="走线电感" sheetId="2" r:id="rId2"/>
    <sheet name="磁芯数据表" sheetId="3" r:id="rId3"/>
    <sheet name="线规表" sheetId="4" r:id="rId4"/>
    <sheet name="PCB-L、C" sheetId="5" r:id="rId5"/>
  </sheets>
  <definedNames>
    <definedName name="_xlnm.Print_Area" localSheetId="0">'正激类变压器'!$A$1:$BO$59</definedName>
    <definedName name="TZSJ">#REF!</definedName>
    <definedName name="磁芯数据表">'磁芯数据表'!$A:$IN</definedName>
    <definedName name="电路拓扑">'正激类变压器'!$BS$2:$CV$13</definedName>
    <definedName name="可选插装电阻">#REF!</definedName>
    <definedName name="可选电位器">#REF!</definedName>
    <definedName name="可选贴装电阻">#REF!</definedName>
    <definedName name="线规表">'线规表'!$A$1:$I$33</definedName>
  </definedNames>
  <calcPr fullCalcOnLoad="1"/>
</workbook>
</file>

<file path=xl/comments1.xml><?xml version="1.0" encoding="utf-8"?>
<comments xmlns="http://schemas.openxmlformats.org/spreadsheetml/2006/main">
  <authors>
    <author>王沛昕</author>
  </authors>
  <commentList>
    <comment ref="AY6" authorId="0">
      <text>
        <r>
          <rPr>
            <b/>
            <sz val="12"/>
            <rFont val="宋体"/>
            <family val="0"/>
          </rPr>
          <t xml:space="preserve">最大磁密：
</t>
        </r>
        <r>
          <rPr>
            <sz val="9"/>
            <rFont val="宋体"/>
            <family val="0"/>
          </rPr>
          <t xml:space="preserve">    铁氧体在100℃时饱和磁通密度在0.3T左右，当磁通密度大于0.2T时，磁场强度明显增加，即磁化电流迅速增加，使线圈损耗增加。为避免在瞬态时磁芯进入饱和，一般选取磁通密度摆幅为0.16T。如果频率超过50kHz，按工作频率在磁芯损耗曲线上按100～200mW/cm</t>
        </r>
        <r>
          <rPr>
            <vertAlign val="superscript"/>
            <sz val="12"/>
            <rFont val="宋体"/>
            <family val="0"/>
          </rPr>
          <t>3</t>
        </r>
        <r>
          <rPr>
            <sz val="9"/>
            <rFont val="宋体"/>
            <family val="0"/>
          </rPr>
          <t>选择磁通密度摆幅ΔB，取其一半即为B</t>
        </r>
        <r>
          <rPr>
            <vertAlign val="subscript"/>
            <sz val="12"/>
            <rFont val="宋体"/>
            <family val="0"/>
          </rPr>
          <t>max</t>
        </r>
        <r>
          <rPr>
            <sz val="9"/>
            <rFont val="宋体"/>
            <family val="0"/>
          </rPr>
          <t>。
   ——《实用电源技术手册磁性元器件分册》Pe99/Ps113</t>
        </r>
      </text>
    </comment>
    <comment ref="AY34" authorId="0">
      <text>
        <r>
          <rPr>
            <b/>
            <sz val="12"/>
            <rFont val="宋体"/>
            <family val="0"/>
          </rPr>
          <t>说明:</t>
        </r>
        <r>
          <rPr>
            <sz val="9"/>
            <rFont val="宋体"/>
            <family val="0"/>
          </rPr>
          <t xml:space="preserve">
根据具体整流滤波后的满载纹波确定
三相：约1.4；
单相：约1.2；
直流：1
</t>
        </r>
      </text>
    </comment>
    <comment ref="BF11" authorId="0">
      <text>
        <r>
          <rPr>
            <sz val="9"/>
            <rFont val="宋体"/>
            <family val="0"/>
          </rPr>
          <t>此值受电路拓扑影响，推挽时与其他形式(半桥/全桥/正激)不同，详见下面相关详细说明。</t>
        </r>
      </text>
    </comment>
    <comment ref="AY11" authorId="0">
      <text>
        <r>
          <rPr>
            <b/>
            <sz val="12"/>
            <rFont val="宋体"/>
            <family val="0"/>
          </rPr>
          <t>原边方波电流峰值:</t>
        </r>
        <r>
          <rPr>
            <sz val="9"/>
            <rFont val="宋体"/>
            <family val="0"/>
          </rPr>
          <t xml:space="preserve">
受电路拓扑影响，推挽时与其他形式(半桥/全桥/正激)不同，详见下面相关详细说明。</t>
        </r>
      </text>
    </comment>
    <comment ref="BF13" authorId="0">
      <text>
        <r>
          <rPr>
            <sz val="9"/>
            <rFont val="宋体"/>
            <family val="0"/>
          </rPr>
          <t>此值受电路拓扑影响，推挽时与其他形式(半桥/全桥/正激)不同，详见下面相关详细说明。</t>
        </r>
      </text>
    </comment>
    <comment ref="AI11" authorId="0">
      <text>
        <r>
          <rPr>
            <b/>
            <sz val="12"/>
            <rFont val="宋体"/>
            <family val="0"/>
          </rPr>
          <t>最大开通时间:</t>
        </r>
        <r>
          <rPr>
            <sz val="9"/>
            <rFont val="宋体"/>
            <family val="0"/>
          </rPr>
          <t xml:space="preserve">
全桥/半桥/推挽：</t>
        </r>
        <r>
          <rPr>
            <sz val="12"/>
            <color indexed="12"/>
            <rFont val="宋体"/>
            <family val="0"/>
          </rPr>
          <t>T</t>
        </r>
        <r>
          <rPr>
            <vertAlign val="subscript"/>
            <sz val="12"/>
            <color indexed="12"/>
            <rFont val="宋体"/>
            <family val="0"/>
          </rPr>
          <t>onmax</t>
        </r>
        <r>
          <rPr>
            <sz val="12"/>
            <color indexed="12"/>
            <rFont val="宋体"/>
            <family val="0"/>
          </rPr>
          <t>=1/f</t>
        </r>
        <r>
          <rPr>
            <vertAlign val="subscript"/>
            <sz val="12"/>
            <color indexed="12"/>
            <rFont val="宋体"/>
            <family val="0"/>
          </rPr>
          <t>T</t>
        </r>
        <r>
          <rPr>
            <sz val="12"/>
            <color indexed="12"/>
            <rFont val="宋体"/>
            <family val="0"/>
          </rPr>
          <t>×D</t>
        </r>
        <r>
          <rPr>
            <vertAlign val="subscript"/>
            <sz val="12"/>
            <color indexed="12"/>
            <rFont val="宋体"/>
            <family val="0"/>
          </rPr>
          <t>max</t>
        </r>
        <r>
          <rPr>
            <sz val="12"/>
            <color indexed="10"/>
            <rFont val="宋体"/>
            <family val="0"/>
          </rPr>
          <t>/2</t>
        </r>
        <r>
          <rPr>
            <sz val="9"/>
            <rFont val="宋体"/>
            <family val="0"/>
          </rPr>
          <t xml:space="preserve">
          正激：</t>
        </r>
        <r>
          <rPr>
            <sz val="12"/>
            <color indexed="12"/>
            <rFont val="宋体"/>
            <family val="0"/>
          </rPr>
          <t>T</t>
        </r>
        <r>
          <rPr>
            <vertAlign val="subscript"/>
            <sz val="12"/>
            <color indexed="12"/>
            <rFont val="宋体"/>
            <family val="0"/>
          </rPr>
          <t>onmax</t>
        </r>
        <r>
          <rPr>
            <sz val="12"/>
            <color indexed="12"/>
            <rFont val="宋体"/>
            <family val="0"/>
          </rPr>
          <t>=1/f</t>
        </r>
        <r>
          <rPr>
            <vertAlign val="subscript"/>
            <sz val="12"/>
            <color indexed="12"/>
            <rFont val="宋体"/>
            <family val="0"/>
          </rPr>
          <t>T</t>
        </r>
        <r>
          <rPr>
            <sz val="12"/>
            <color indexed="12"/>
            <rFont val="宋体"/>
            <family val="0"/>
          </rPr>
          <t>×D</t>
        </r>
        <r>
          <rPr>
            <vertAlign val="subscript"/>
            <sz val="12"/>
            <color indexed="12"/>
            <rFont val="宋体"/>
            <family val="0"/>
          </rPr>
          <t>max</t>
        </r>
      </text>
    </comment>
    <comment ref="AY8" authorId="0">
      <text>
        <r>
          <rPr>
            <b/>
            <sz val="12"/>
            <rFont val="宋体"/>
            <family val="0"/>
          </rPr>
          <t>窗口填充系数：</t>
        </r>
        <r>
          <rPr>
            <sz val="9"/>
            <rFont val="宋体"/>
            <family val="0"/>
          </rPr>
          <t xml:space="preserve">
k</t>
        </r>
        <r>
          <rPr>
            <vertAlign val="subscript"/>
            <sz val="12"/>
            <rFont val="宋体"/>
            <family val="0"/>
          </rPr>
          <t>W</t>
        </r>
        <r>
          <rPr>
            <sz val="9"/>
            <rFont val="宋体"/>
            <family val="0"/>
          </rPr>
          <t>一般取0.4，原副边约各占一半，推挽时与其他形式(半桥/全桥/正激)不同，对于半桥/全桥/正激原边电流(有效值)I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=0.5jk</t>
        </r>
        <r>
          <rPr>
            <vertAlign val="subscript"/>
            <sz val="12"/>
            <rFont val="宋体"/>
            <family val="0"/>
          </rPr>
          <t>W</t>
        </r>
        <r>
          <rPr>
            <sz val="9"/>
            <rFont val="宋体"/>
            <family val="0"/>
          </rPr>
          <t>A</t>
        </r>
        <r>
          <rPr>
            <vertAlign val="subscript"/>
            <sz val="12"/>
            <rFont val="宋体"/>
            <family val="0"/>
          </rPr>
          <t>W</t>
        </r>
        <r>
          <rPr>
            <sz val="9"/>
            <rFont val="宋体"/>
            <family val="0"/>
          </rPr>
          <t>/N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，而对于推挽电路，原边有2个绕组各占1/4，即原边电流(有效值)I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=0.5jk</t>
        </r>
        <r>
          <rPr>
            <vertAlign val="subscript"/>
            <sz val="12"/>
            <rFont val="宋体"/>
            <family val="0"/>
          </rPr>
          <t>W</t>
        </r>
        <r>
          <rPr>
            <sz val="9"/>
            <rFont val="宋体"/>
            <family val="0"/>
          </rPr>
          <t>A</t>
        </r>
        <r>
          <rPr>
            <vertAlign val="subscript"/>
            <sz val="12"/>
            <rFont val="宋体"/>
            <family val="0"/>
          </rPr>
          <t>W</t>
        </r>
        <r>
          <rPr>
            <sz val="9"/>
            <rFont val="宋体"/>
            <family val="0"/>
          </rPr>
          <t>/N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。</t>
        </r>
      </text>
    </comment>
    <comment ref="AI34" authorId="0">
      <text>
        <r>
          <rPr>
            <b/>
            <sz val="12"/>
            <rFont val="宋体"/>
            <family val="0"/>
          </rPr>
          <t>输入电压:</t>
        </r>
        <r>
          <rPr>
            <sz val="9"/>
            <rFont val="宋体"/>
            <family val="0"/>
          </rPr>
          <t xml:space="preserve">
指给模块供电的电压，取其最小值，不同形式（AC或DC）整流系数不同</t>
        </r>
      </text>
    </comment>
    <comment ref="S6" authorId="0">
      <text>
        <r>
          <rPr>
            <b/>
            <sz val="12"/>
            <rFont val="宋体"/>
            <family val="0"/>
          </rPr>
          <t>工作频率：</t>
        </r>
        <r>
          <rPr>
            <sz val="9"/>
            <rFont val="宋体"/>
            <family val="0"/>
          </rPr>
          <t xml:space="preserve">
指变压器的工作频率。
    推挽类（推挽，半桥和全桥）功率电路每个功率开关以1/2时钟频率驱动，电路的开关频率就是时钟频率。变压器和单个功率开关和单个整流器都以“变压器频率f</t>
        </r>
        <r>
          <rPr>
            <vertAlign val="subscript"/>
            <sz val="12"/>
            <rFont val="宋体"/>
            <family val="0"/>
          </rPr>
          <t>T</t>
        </r>
        <r>
          <rPr>
            <sz val="9"/>
            <rFont val="宋体"/>
            <family val="0"/>
          </rPr>
          <t>”工作,它是开关频率的一半
    单端正激变换器功率电路中，功率开关，变压器和输出整流器都工作在开关频率；
    将推挽IC控制芯片用于单端正激变换器，仅用两个开关驱动中的一个，开关频率是时钟频率的
一半。</t>
        </r>
      </text>
    </comment>
    <comment ref="S11" authorId="0">
      <text>
        <r>
          <rPr>
            <b/>
            <sz val="12"/>
            <rFont val="宋体"/>
            <family val="0"/>
          </rPr>
          <t>磁通摆幅：</t>
        </r>
        <r>
          <rPr>
            <sz val="9"/>
            <rFont val="宋体"/>
            <family val="0"/>
          </rPr>
          <t xml:space="preserve">
半桥/全桥/推挽：
  </t>
        </r>
        <r>
          <rPr>
            <sz val="6"/>
            <rFont val="宋体"/>
            <family val="0"/>
          </rPr>
          <t xml:space="preserve"> </t>
        </r>
        <r>
          <rPr>
            <sz val="9"/>
            <rFont val="宋体"/>
            <family val="0"/>
          </rPr>
          <t xml:space="preserve">   ΔB=2B</t>
        </r>
        <r>
          <rPr>
            <vertAlign val="subscript"/>
            <sz val="12"/>
            <rFont val="宋体"/>
            <family val="0"/>
          </rPr>
          <t>max</t>
        </r>
        <r>
          <rPr>
            <sz val="9"/>
            <rFont val="宋体"/>
            <family val="0"/>
          </rPr>
          <t xml:space="preserve">
正激：ΔB=B</t>
        </r>
        <r>
          <rPr>
            <vertAlign val="subscript"/>
            <sz val="12"/>
            <rFont val="宋体"/>
            <family val="0"/>
          </rPr>
          <t>max</t>
        </r>
      </text>
    </comment>
    <comment ref="S8" authorId="0">
      <text>
        <r>
          <rPr>
            <b/>
            <sz val="12"/>
            <rFont val="宋体"/>
            <family val="0"/>
          </rPr>
          <t>设计电路密度：</t>
        </r>
        <r>
          <rPr>
            <sz val="9"/>
            <rFont val="宋体"/>
            <family val="0"/>
          </rPr>
          <t xml:space="preserve">
自冷电流密度一般取4A/mm</t>
        </r>
        <r>
          <rPr>
            <vertAlign val="superscript"/>
            <sz val="12"/>
            <rFont val="宋体"/>
            <family val="0"/>
          </rPr>
          <t>2</t>
        </r>
        <r>
          <rPr>
            <sz val="9"/>
            <rFont val="宋体"/>
            <family val="0"/>
          </rPr>
          <t>,在风冷时可根据风速及允许温升取到5～10A/mm</t>
        </r>
        <r>
          <rPr>
            <vertAlign val="superscript"/>
            <sz val="12"/>
            <rFont val="宋体"/>
            <family val="0"/>
          </rPr>
          <t>2</t>
        </r>
        <r>
          <rPr>
            <sz val="9"/>
            <rFont val="宋体"/>
            <family val="0"/>
          </rPr>
          <t>。</t>
        </r>
      </text>
    </comment>
    <comment ref="AI8" authorId="0">
      <text>
        <r>
          <rPr>
            <b/>
            <sz val="12"/>
            <rFont val="宋体"/>
            <family val="0"/>
          </rPr>
          <t xml:space="preserve">预估效率：
</t>
        </r>
        <r>
          <rPr>
            <sz val="9"/>
            <rFont val="宋体"/>
            <family val="0"/>
          </rPr>
          <t>有PFC时应为DC/DC的效率：
泰坦：50A通信电源约为</t>
        </r>
        <r>
          <rPr>
            <sz val="12"/>
            <color indexed="10"/>
            <rFont val="宋体"/>
            <family val="0"/>
          </rPr>
          <t>92%</t>
        </r>
        <r>
          <rPr>
            <sz val="9"/>
            <rFont val="宋体"/>
            <family val="0"/>
          </rPr>
          <t>；10A电力电源约为</t>
        </r>
        <r>
          <rPr>
            <sz val="12"/>
            <color indexed="10"/>
            <rFont val="宋体"/>
            <family val="0"/>
          </rPr>
          <t>95%</t>
        </r>
        <r>
          <rPr>
            <sz val="9"/>
            <rFont val="宋体"/>
            <family val="0"/>
          </rPr>
          <t>(软开关)。
金电：48V/50A</t>
        </r>
        <r>
          <rPr>
            <sz val="12"/>
            <color indexed="10"/>
            <rFont val="宋体"/>
            <family val="0"/>
          </rPr>
          <t>89.7%</t>
        </r>
        <r>
          <rPr>
            <sz val="9"/>
            <rFont val="宋体"/>
            <family val="0"/>
          </rPr>
          <t>；220V/10A</t>
        </r>
        <r>
          <rPr>
            <sz val="12"/>
            <color indexed="10"/>
            <rFont val="宋体"/>
            <family val="0"/>
          </rPr>
          <t>91.8</t>
        </r>
        <r>
          <rPr>
            <sz val="9"/>
            <rFont val="宋体"/>
            <family val="0"/>
          </rPr>
          <t>；48V/25A</t>
        </r>
        <r>
          <rPr>
            <sz val="12"/>
            <color indexed="10"/>
            <rFont val="宋体"/>
            <family val="0"/>
          </rPr>
          <t>88.34</t>
        </r>
        <r>
          <rPr>
            <sz val="9"/>
            <rFont val="宋体"/>
            <family val="0"/>
          </rPr>
          <t>％；
    用肖特基管效率应为87～88%，有PFC时PDC效率在92%以上（路东文于2001年10月口头指教）。</t>
        </r>
      </text>
    </comment>
    <comment ref="C34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  <comment ref="AI36" authorId="0">
      <text>
        <r>
          <rPr>
            <b/>
            <sz val="12"/>
            <rFont val="宋体"/>
            <family val="0"/>
          </rPr>
          <t>变压器原边峰值电压最小值:</t>
        </r>
        <r>
          <rPr>
            <sz val="9"/>
            <rFont val="宋体"/>
            <family val="0"/>
          </rPr>
          <t xml:space="preserve">
全桥/推挽/正激：</t>
        </r>
        <r>
          <rPr>
            <sz val="12"/>
            <color indexed="12"/>
            <rFont val="宋体"/>
            <family val="0"/>
          </rPr>
          <t>V</t>
        </r>
        <r>
          <rPr>
            <vertAlign val="subscript"/>
            <sz val="12"/>
            <color indexed="12"/>
            <rFont val="宋体"/>
            <family val="0"/>
          </rPr>
          <t>pmin</t>
        </r>
        <r>
          <rPr>
            <sz val="12"/>
            <color indexed="12"/>
            <rFont val="宋体"/>
            <family val="0"/>
          </rPr>
          <t>=k</t>
        </r>
        <r>
          <rPr>
            <vertAlign val="subscript"/>
            <sz val="12"/>
            <color indexed="12"/>
            <rFont val="宋体"/>
            <family val="0"/>
          </rPr>
          <t>z</t>
        </r>
        <r>
          <rPr>
            <sz val="12"/>
            <color indexed="12"/>
            <rFont val="宋体"/>
            <family val="0"/>
          </rPr>
          <t>VAC</t>
        </r>
        <r>
          <rPr>
            <vertAlign val="subscript"/>
            <sz val="12"/>
            <color indexed="12"/>
            <rFont val="宋体"/>
            <family val="0"/>
          </rPr>
          <t>min</t>
        </r>
        <r>
          <rPr>
            <sz val="9"/>
            <rFont val="宋体"/>
            <family val="0"/>
          </rPr>
          <t xml:space="preserve">；
    </t>
        </r>
        <r>
          <rPr>
            <sz val="10"/>
            <rFont val="宋体"/>
            <family val="0"/>
          </rPr>
          <t xml:space="preserve">  </t>
        </r>
        <r>
          <rPr>
            <sz val="9"/>
            <rFont val="宋体"/>
            <family val="0"/>
          </rPr>
          <t xml:space="preserve">    半桥：</t>
        </r>
        <r>
          <rPr>
            <sz val="12"/>
            <color indexed="12"/>
            <rFont val="宋体"/>
            <family val="0"/>
          </rPr>
          <t>V</t>
        </r>
        <r>
          <rPr>
            <vertAlign val="subscript"/>
            <sz val="12"/>
            <color indexed="12"/>
            <rFont val="宋体"/>
            <family val="0"/>
          </rPr>
          <t>pmin</t>
        </r>
        <r>
          <rPr>
            <sz val="12"/>
            <color indexed="12"/>
            <rFont val="宋体"/>
            <family val="0"/>
          </rPr>
          <t>=k</t>
        </r>
        <r>
          <rPr>
            <vertAlign val="subscript"/>
            <sz val="12"/>
            <color indexed="12"/>
            <rFont val="宋体"/>
            <family val="0"/>
          </rPr>
          <t>z</t>
        </r>
        <r>
          <rPr>
            <sz val="12"/>
            <color indexed="12"/>
            <rFont val="宋体"/>
            <family val="0"/>
          </rPr>
          <t>VAC</t>
        </r>
        <r>
          <rPr>
            <vertAlign val="subscript"/>
            <sz val="12"/>
            <color indexed="12"/>
            <rFont val="宋体"/>
            <family val="0"/>
          </rPr>
          <t>min</t>
        </r>
        <r>
          <rPr>
            <sz val="12"/>
            <color indexed="10"/>
            <rFont val="宋体"/>
            <family val="0"/>
          </rPr>
          <t>/2</t>
        </r>
        <r>
          <rPr>
            <sz val="9"/>
            <rFont val="宋体"/>
            <family val="0"/>
          </rPr>
          <t>。
由电磁感应定律得到：V</t>
        </r>
        <r>
          <rPr>
            <vertAlign val="subscript"/>
            <sz val="12"/>
            <rFont val="宋体"/>
            <family val="0"/>
          </rPr>
          <t>pmin</t>
        </r>
        <r>
          <rPr>
            <sz val="9"/>
            <rFont val="宋体"/>
            <family val="0"/>
          </rPr>
          <t>=N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A</t>
        </r>
        <r>
          <rPr>
            <vertAlign val="subscript"/>
            <sz val="12"/>
            <rFont val="宋体"/>
            <family val="0"/>
          </rPr>
          <t>e</t>
        </r>
        <r>
          <rPr>
            <sz val="9"/>
            <rFont val="宋体"/>
            <family val="0"/>
          </rPr>
          <t>ΔB/T</t>
        </r>
        <r>
          <rPr>
            <vertAlign val="subscript"/>
            <sz val="12"/>
            <rFont val="宋体"/>
            <family val="0"/>
          </rPr>
          <t>onmax</t>
        </r>
      </text>
    </comment>
    <comment ref="S34" authorId="0">
      <text>
        <r>
          <rPr>
            <b/>
            <sz val="12"/>
            <rFont val="宋体"/>
            <family val="0"/>
          </rPr>
          <t>副边输出整流器的压降（</t>
        </r>
        <r>
          <rPr>
            <b/>
            <sz val="12"/>
            <color indexed="10"/>
            <rFont val="宋体"/>
            <family val="0"/>
          </rPr>
          <t>全桥整流时并非１个二极管的压降</t>
        </r>
        <r>
          <rPr>
            <b/>
            <sz val="12"/>
            <rFont val="宋体"/>
            <family val="0"/>
          </rPr>
          <t>):</t>
        </r>
        <r>
          <rPr>
            <sz val="9"/>
            <rFont val="宋体"/>
            <family val="0"/>
          </rPr>
          <t xml:space="preserve">
快恢复二极管约1.20～1.5V;肖特基二极管约0.65～0.8V（路东文于2001年10月口头指教）。
精确计算应查找二极管厂家提供的详细资料中的曲线
</t>
        </r>
        <r>
          <rPr>
            <sz val="12"/>
            <color indexed="10"/>
            <rFont val="宋体"/>
            <family val="0"/>
          </rPr>
          <t>全桥整流时为2倍二极管压降</t>
        </r>
      </text>
    </comment>
    <comment ref="AI6" authorId="0">
      <text>
        <r>
          <rPr>
            <b/>
            <sz val="12"/>
            <rFont val="宋体"/>
            <family val="0"/>
          </rPr>
          <t>最大占空比:</t>
        </r>
        <r>
          <rPr>
            <sz val="9"/>
            <rFont val="宋体"/>
            <family val="0"/>
          </rPr>
          <t xml:space="preserve">
由此及电路拓扑和f</t>
        </r>
        <r>
          <rPr>
            <vertAlign val="subscript"/>
            <sz val="12"/>
            <rFont val="宋体"/>
            <family val="0"/>
          </rPr>
          <t>Ｔ</t>
        </r>
        <r>
          <rPr>
            <sz val="9"/>
            <rFont val="宋体"/>
            <family val="0"/>
          </rPr>
          <t>却定T</t>
        </r>
        <r>
          <rPr>
            <vertAlign val="subscript"/>
            <sz val="12"/>
            <rFont val="宋体"/>
            <family val="0"/>
          </rPr>
          <t>onmax</t>
        </r>
        <r>
          <rPr>
            <sz val="9"/>
            <rFont val="宋体"/>
            <family val="0"/>
          </rPr>
          <t>值
泰坦50A通信电源为０．875</t>
        </r>
      </text>
    </comment>
    <comment ref="C6" authorId="0">
      <text>
        <r>
          <rPr>
            <b/>
            <sz val="12"/>
            <rFont val="宋体"/>
            <family val="0"/>
          </rPr>
          <t>电路拓扑:</t>
        </r>
        <r>
          <rPr>
            <sz val="9"/>
            <rFont val="宋体"/>
            <family val="0"/>
          </rPr>
          <t xml:space="preserve">
1、影响磁通摆幅ΔB:半桥/全桥/推挽ΔB=2B</t>
        </r>
        <r>
          <rPr>
            <vertAlign val="subscript"/>
            <sz val="12"/>
            <rFont val="宋体"/>
            <family val="0"/>
          </rPr>
          <t>max</t>
        </r>
        <r>
          <rPr>
            <sz val="9"/>
            <rFont val="宋体"/>
            <family val="0"/>
          </rPr>
          <t>，正激ΔB=B</t>
        </r>
        <r>
          <rPr>
            <vertAlign val="subscript"/>
            <sz val="12"/>
            <rFont val="宋体"/>
            <family val="0"/>
          </rPr>
          <t>max</t>
        </r>
        <r>
          <rPr>
            <sz val="9"/>
            <rFont val="宋体"/>
            <family val="0"/>
          </rPr>
          <t>(正激可出功率小)。
2、影响开通时间T</t>
        </r>
        <r>
          <rPr>
            <vertAlign val="subscript"/>
            <sz val="12"/>
            <rFont val="宋体"/>
            <family val="0"/>
          </rPr>
          <t>onmax</t>
        </r>
        <r>
          <rPr>
            <sz val="9"/>
            <rFont val="宋体"/>
            <family val="0"/>
          </rPr>
          <t>:半桥/全桥/推挽时减半，正激不减(正激可出功率小)。
3、影响原边方波电流峰值I</t>
        </r>
        <r>
          <rPr>
            <vertAlign val="subscript"/>
            <sz val="12"/>
            <rFont val="宋体"/>
            <family val="0"/>
          </rPr>
          <t>dc</t>
        </r>
        <r>
          <rPr>
            <sz val="9"/>
            <rFont val="宋体"/>
            <family val="0"/>
          </rPr>
          <t>的取值，详见下面相关详细说明。
4、影响原边电压V</t>
        </r>
        <r>
          <rPr>
            <vertAlign val="subscript"/>
            <sz val="12"/>
            <rFont val="宋体"/>
            <family val="0"/>
          </rPr>
          <t>pmin</t>
        </r>
        <r>
          <rPr>
            <sz val="9"/>
            <rFont val="宋体"/>
            <family val="0"/>
          </rPr>
          <t xml:space="preserve">:半桥时减半而电流加倍，但这仅对原边匝数和线径有影响，
   </t>
        </r>
        <r>
          <rPr>
            <sz val="12"/>
            <color indexed="10"/>
            <rFont val="宋体"/>
            <family val="0"/>
          </rPr>
          <t>不影响变压器输出功率</t>
        </r>
        <r>
          <rPr>
            <sz val="9"/>
            <rFont val="宋体"/>
            <family val="0"/>
          </rPr>
          <t>。</t>
        </r>
      </text>
    </comment>
    <comment ref="C16" authorId="0">
      <text>
        <r>
          <rPr>
            <b/>
            <sz val="12"/>
            <rFont val="宋体"/>
            <family val="0"/>
          </rPr>
          <t>磁芯型号：</t>
        </r>
        <r>
          <rPr>
            <sz val="9"/>
            <rFont val="宋体"/>
            <family val="0"/>
          </rPr>
          <t xml:space="preserve">
1、参数内容链接磁芯数据表
2、相同磁芯因采用骨架不同窗口面积AW值相差较
   大，必要时可对数据源修正
3、如遇其他磁芯可在磁芯数据表中另行添加，添
   加时不可更改序号列。添加后应更改型号两侧
   的选择控件范围（需撤销工作表保护）。</t>
        </r>
      </text>
    </comment>
    <comment ref="C18" authorId="0">
      <text>
        <r>
          <rPr>
            <b/>
            <sz val="12"/>
            <rFont val="宋体"/>
            <family val="0"/>
          </rPr>
          <t>类型/厂家:</t>
        </r>
        <r>
          <rPr>
            <sz val="9"/>
            <rFont val="宋体"/>
            <family val="0"/>
          </rPr>
          <t xml:space="preserve">
各厂家提供数据有时差异较大，尤其是采用骨架不同时窗口面积的差异对计算结果影响较大，须仔细核对。</t>
        </r>
      </text>
    </comment>
    <comment ref="C20" authorId="0">
      <text>
        <r>
          <rPr>
            <b/>
            <sz val="12"/>
            <rFont val="宋体"/>
            <family val="0"/>
          </rPr>
          <t xml:space="preserve">可输出功率：
</t>
        </r>
        <r>
          <rPr>
            <sz val="9"/>
            <rFont val="宋体"/>
            <family val="0"/>
          </rPr>
          <t>详见下面相应公式</t>
        </r>
      </text>
    </comment>
    <comment ref="X16" authorId="0">
      <text>
        <r>
          <rPr>
            <b/>
            <sz val="12"/>
            <rFont val="宋体"/>
            <family val="0"/>
          </rPr>
          <t>有效磁芯
截面积</t>
        </r>
      </text>
    </comment>
    <comment ref="AC16" authorId="0">
      <text>
        <r>
          <rPr>
            <b/>
            <sz val="12"/>
            <rFont val="宋体"/>
            <family val="0"/>
          </rPr>
          <t>窗口面积</t>
        </r>
      </text>
    </comment>
    <comment ref="AH16" authorId="0">
      <text>
        <r>
          <rPr>
            <b/>
            <sz val="12"/>
            <rFont val="宋体"/>
            <family val="0"/>
          </rPr>
          <t>平均单匝
线圈周长</t>
        </r>
      </text>
    </comment>
    <comment ref="AM16" authorId="0">
      <text>
        <r>
          <rPr>
            <b/>
            <sz val="12"/>
            <rFont val="宋体"/>
            <family val="0"/>
          </rPr>
          <t>平均磁路
长度</t>
        </r>
      </text>
    </comment>
    <comment ref="AW16" authorId="0">
      <text>
        <r>
          <rPr>
            <b/>
            <sz val="14"/>
            <rFont val="宋体"/>
            <family val="0"/>
          </rPr>
          <t>磁阻：
R</t>
        </r>
        <r>
          <rPr>
            <b/>
            <vertAlign val="subscript"/>
            <sz val="14"/>
            <rFont val="宋体"/>
            <family val="0"/>
          </rPr>
          <t>m</t>
        </r>
        <r>
          <rPr>
            <b/>
            <sz val="14"/>
            <rFont val="宋体"/>
            <family val="0"/>
          </rPr>
          <t>=</t>
        </r>
        <r>
          <rPr>
            <b/>
            <sz val="18"/>
            <rFont val="华文行楷"/>
            <family val="3"/>
          </rPr>
          <t>l</t>
        </r>
        <r>
          <rPr>
            <b/>
            <vertAlign val="subscript"/>
            <sz val="14"/>
            <rFont val="宋体"/>
            <family val="0"/>
          </rPr>
          <t>e</t>
        </r>
        <r>
          <rPr>
            <b/>
            <sz val="14"/>
            <rFont val="宋体"/>
            <family val="0"/>
          </rPr>
          <t>/A</t>
        </r>
        <r>
          <rPr>
            <b/>
            <vertAlign val="subscript"/>
            <sz val="14"/>
            <rFont val="宋体"/>
            <family val="0"/>
          </rPr>
          <t>e</t>
        </r>
        <r>
          <rPr>
            <b/>
            <sz val="14"/>
            <rFont val="宋体"/>
            <family val="0"/>
          </rPr>
          <t>/</t>
        </r>
        <r>
          <rPr>
            <b/>
            <sz val="18"/>
            <rFont val="宋体"/>
            <family val="0"/>
          </rPr>
          <t>μ</t>
        </r>
      </text>
    </comment>
    <comment ref="BD16" authorId="0">
      <text>
        <r>
          <rPr>
            <b/>
            <sz val="12"/>
            <rFont val="宋体"/>
            <family val="0"/>
          </rPr>
          <t>磁芯
质量</t>
        </r>
      </text>
    </comment>
    <comment ref="AR16" authorId="0">
      <text>
        <r>
          <rPr>
            <b/>
            <sz val="12"/>
            <rFont val="宋体"/>
            <family val="0"/>
          </rPr>
          <t>磁芯体积</t>
        </r>
      </text>
    </comment>
    <comment ref="AI38" authorId="0">
      <text>
        <r>
          <rPr>
            <b/>
            <sz val="12"/>
            <rFont val="宋体"/>
            <family val="0"/>
          </rPr>
          <t>输出电流:</t>
        </r>
        <r>
          <rPr>
            <sz val="9"/>
            <rFont val="宋体"/>
            <family val="0"/>
          </rPr>
          <t xml:space="preserve">
指最大输出电流</t>
        </r>
      </text>
    </comment>
    <comment ref="AY38" authorId="0">
      <text>
        <r>
          <rPr>
            <b/>
            <sz val="12"/>
            <rFont val="宋体"/>
            <family val="0"/>
          </rPr>
          <t>输出功率:</t>
        </r>
        <r>
          <rPr>
            <sz val="9"/>
            <rFont val="宋体"/>
            <family val="0"/>
          </rPr>
          <t xml:space="preserve">
指最大输出功率</t>
        </r>
      </text>
    </comment>
    <comment ref="S38" authorId="0">
      <text>
        <r>
          <rPr>
            <b/>
            <sz val="12"/>
            <rFont val="宋体"/>
            <family val="0"/>
          </rPr>
          <t>反算原边匝数：:</t>
        </r>
        <r>
          <rPr>
            <sz val="9"/>
            <rFont val="宋体"/>
            <family val="0"/>
          </rPr>
          <t xml:space="preserve">
根据取整后的副边匝数算出的原边理论匝数</t>
        </r>
      </text>
    </comment>
    <comment ref="S36" authorId="0">
      <text>
        <r>
          <rPr>
            <b/>
            <sz val="12"/>
            <rFont val="宋体"/>
            <family val="0"/>
          </rPr>
          <t>理论副边匝数</t>
        </r>
        <r>
          <rPr>
            <sz val="9"/>
            <rFont val="宋体"/>
            <family val="0"/>
          </rPr>
          <t xml:space="preserve">
由电磁感应定律得到：V</t>
        </r>
        <r>
          <rPr>
            <vertAlign val="subscript"/>
            <sz val="12"/>
            <rFont val="宋体"/>
            <family val="0"/>
          </rPr>
          <t>pmin</t>
        </r>
        <r>
          <rPr>
            <sz val="9"/>
            <rFont val="宋体"/>
            <family val="0"/>
          </rPr>
          <t>=N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A</t>
        </r>
        <r>
          <rPr>
            <vertAlign val="subscript"/>
            <sz val="12"/>
            <rFont val="宋体"/>
            <family val="0"/>
          </rPr>
          <t>e</t>
        </r>
        <r>
          <rPr>
            <sz val="9"/>
            <rFont val="宋体"/>
            <family val="0"/>
          </rPr>
          <t>ΔB/T</t>
        </r>
        <r>
          <rPr>
            <vertAlign val="subscript"/>
            <sz val="12"/>
            <rFont val="宋体"/>
            <family val="0"/>
          </rPr>
          <t>onmax</t>
        </r>
        <r>
          <rPr>
            <sz val="9"/>
            <rFont val="宋体"/>
            <family val="0"/>
          </rPr>
          <t>算出原边匝数，再根据原副边电压算出副边匝数。</t>
        </r>
      </text>
    </comment>
    <comment ref="C36" authorId="0">
      <text>
        <r>
          <rPr>
            <b/>
            <sz val="12"/>
            <rFont val="宋体"/>
            <family val="0"/>
          </rPr>
          <t>变压器原边峰值电压最小值:</t>
        </r>
        <r>
          <rPr>
            <sz val="9"/>
            <rFont val="宋体"/>
            <family val="0"/>
          </rPr>
          <t xml:space="preserve">
全桥/推挽/正激：</t>
        </r>
        <r>
          <rPr>
            <sz val="12"/>
            <color indexed="12"/>
            <rFont val="宋体"/>
            <family val="0"/>
          </rPr>
          <t>V</t>
        </r>
        <r>
          <rPr>
            <vertAlign val="subscript"/>
            <sz val="12"/>
            <color indexed="12"/>
            <rFont val="宋体"/>
            <family val="0"/>
          </rPr>
          <t>pmin</t>
        </r>
        <r>
          <rPr>
            <sz val="12"/>
            <color indexed="12"/>
            <rFont val="宋体"/>
            <family val="0"/>
          </rPr>
          <t>=k</t>
        </r>
        <r>
          <rPr>
            <vertAlign val="subscript"/>
            <sz val="12"/>
            <color indexed="12"/>
            <rFont val="宋体"/>
            <family val="0"/>
          </rPr>
          <t>z</t>
        </r>
        <r>
          <rPr>
            <sz val="12"/>
            <color indexed="12"/>
            <rFont val="宋体"/>
            <family val="0"/>
          </rPr>
          <t>VAC</t>
        </r>
        <r>
          <rPr>
            <vertAlign val="subscript"/>
            <sz val="12"/>
            <color indexed="12"/>
            <rFont val="宋体"/>
            <family val="0"/>
          </rPr>
          <t>min</t>
        </r>
        <r>
          <rPr>
            <sz val="9"/>
            <rFont val="宋体"/>
            <family val="0"/>
          </rPr>
          <t xml:space="preserve">；
    </t>
        </r>
        <r>
          <rPr>
            <sz val="10"/>
            <rFont val="宋体"/>
            <family val="0"/>
          </rPr>
          <t xml:space="preserve">  </t>
        </r>
        <r>
          <rPr>
            <sz val="9"/>
            <rFont val="宋体"/>
            <family val="0"/>
          </rPr>
          <t xml:space="preserve">    半桥：</t>
        </r>
        <r>
          <rPr>
            <sz val="12"/>
            <color indexed="12"/>
            <rFont val="宋体"/>
            <family val="0"/>
          </rPr>
          <t>V</t>
        </r>
        <r>
          <rPr>
            <vertAlign val="subscript"/>
            <sz val="12"/>
            <color indexed="12"/>
            <rFont val="宋体"/>
            <family val="0"/>
          </rPr>
          <t>pmin</t>
        </r>
        <r>
          <rPr>
            <sz val="12"/>
            <color indexed="12"/>
            <rFont val="宋体"/>
            <family val="0"/>
          </rPr>
          <t>=k</t>
        </r>
        <r>
          <rPr>
            <vertAlign val="subscript"/>
            <sz val="12"/>
            <color indexed="12"/>
            <rFont val="宋体"/>
            <family val="0"/>
          </rPr>
          <t>z</t>
        </r>
        <r>
          <rPr>
            <sz val="12"/>
            <color indexed="12"/>
            <rFont val="宋体"/>
            <family val="0"/>
          </rPr>
          <t>VAC</t>
        </r>
        <r>
          <rPr>
            <vertAlign val="subscript"/>
            <sz val="12"/>
            <color indexed="12"/>
            <rFont val="宋体"/>
            <family val="0"/>
          </rPr>
          <t>min</t>
        </r>
        <r>
          <rPr>
            <sz val="12"/>
            <color indexed="10"/>
            <rFont val="宋体"/>
            <family val="0"/>
          </rPr>
          <t>/2</t>
        </r>
        <r>
          <rPr>
            <sz val="9"/>
            <rFont val="宋体"/>
            <family val="0"/>
          </rPr>
          <t>。
由电磁感应定律得到：V</t>
        </r>
        <r>
          <rPr>
            <vertAlign val="subscript"/>
            <sz val="12"/>
            <rFont val="宋体"/>
            <family val="0"/>
          </rPr>
          <t>pmin</t>
        </r>
        <r>
          <rPr>
            <sz val="9"/>
            <rFont val="宋体"/>
            <family val="0"/>
          </rPr>
          <t>=N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A</t>
        </r>
        <r>
          <rPr>
            <vertAlign val="subscript"/>
            <sz val="12"/>
            <rFont val="宋体"/>
            <family val="0"/>
          </rPr>
          <t>e</t>
        </r>
        <r>
          <rPr>
            <sz val="9"/>
            <rFont val="宋体"/>
            <family val="0"/>
          </rPr>
          <t>ΔB/T</t>
        </r>
        <r>
          <rPr>
            <vertAlign val="subscript"/>
            <sz val="12"/>
            <rFont val="宋体"/>
            <family val="0"/>
          </rPr>
          <t>onmax</t>
        </r>
      </text>
    </comment>
    <comment ref="C38" authorId="0">
      <text>
        <r>
          <rPr>
            <b/>
            <sz val="12"/>
            <rFont val="宋体"/>
            <family val="0"/>
          </rPr>
          <t>变压器原边峰值电压最小值:</t>
        </r>
        <r>
          <rPr>
            <sz val="9"/>
            <rFont val="宋体"/>
            <family val="0"/>
          </rPr>
          <t xml:space="preserve">
全桥/推挽/正激：</t>
        </r>
        <r>
          <rPr>
            <sz val="12"/>
            <color indexed="12"/>
            <rFont val="宋体"/>
            <family val="0"/>
          </rPr>
          <t>V</t>
        </r>
        <r>
          <rPr>
            <vertAlign val="subscript"/>
            <sz val="12"/>
            <color indexed="12"/>
            <rFont val="宋体"/>
            <family val="0"/>
          </rPr>
          <t>pmin</t>
        </r>
        <r>
          <rPr>
            <sz val="12"/>
            <color indexed="12"/>
            <rFont val="宋体"/>
            <family val="0"/>
          </rPr>
          <t>=k</t>
        </r>
        <r>
          <rPr>
            <vertAlign val="subscript"/>
            <sz val="12"/>
            <color indexed="12"/>
            <rFont val="宋体"/>
            <family val="0"/>
          </rPr>
          <t>z</t>
        </r>
        <r>
          <rPr>
            <sz val="12"/>
            <color indexed="12"/>
            <rFont val="宋体"/>
            <family val="0"/>
          </rPr>
          <t>VAC</t>
        </r>
        <r>
          <rPr>
            <vertAlign val="subscript"/>
            <sz val="12"/>
            <color indexed="12"/>
            <rFont val="宋体"/>
            <family val="0"/>
          </rPr>
          <t>min</t>
        </r>
        <r>
          <rPr>
            <sz val="9"/>
            <rFont val="宋体"/>
            <family val="0"/>
          </rPr>
          <t xml:space="preserve">；
    </t>
        </r>
        <r>
          <rPr>
            <sz val="10"/>
            <rFont val="宋体"/>
            <family val="0"/>
          </rPr>
          <t xml:space="preserve">  </t>
        </r>
        <r>
          <rPr>
            <sz val="9"/>
            <rFont val="宋体"/>
            <family val="0"/>
          </rPr>
          <t xml:space="preserve">    半桥：</t>
        </r>
        <r>
          <rPr>
            <sz val="12"/>
            <color indexed="12"/>
            <rFont val="宋体"/>
            <family val="0"/>
          </rPr>
          <t>V</t>
        </r>
        <r>
          <rPr>
            <vertAlign val="subscript"/>
            <sz val="12"/>
            <color indexed="12"/>
            <rFont val="宋体"/>
            <family val="0"/>
          </rPr>
          <t>pmin</t>
        </r>
        <r>
          <rPr>
            <sz val="12"/>
            <color indexed="12"/>
            <rFont val="宋体"/>
            <family val="0"/>
          </rPr>
          <t>=k</t>
        </r>
        <r>
          <rPr>
            <vertAlign val="subscript"/>
            <sz val="12"/>
            <color indexed="12"/>
            <rFont val="宋体"/>
            <family val="0"/>
          </rPr>
          <t>z</t>
        </r>
        <r>
          <rPr>
            <sz val="12"/>
            <color indexed="12"/>
            <rFont val="宋体"/>
            <family val="0"/>
          </rPr>
          <t>VAC</t>
        </r>
        <r>
          <rPr>
            <vertAlign val="subscript"/>
            <sz val="12"/>
            <color indexed="12"/>
            <rFont val="宋体"/>
            <family val="0"/>
          </rPr>
          <t>min</t>
        </r>
        <r>
          <rPr>
            <sz val="12"/>
            <color indexed="10"/>
            <rFont val="宋体"/>
            <family val="0"/>
          </rPr>
          <t>/2</t>
        </r>
        <r>
          <rPr>
            <sz val="9"/>
            <rFont val="宋体"/>
            <family val="0"/>
          </rPr>
          <t>。
由电磁感应定律得到：V</t>
        </r>
        <r>
          <rPr>
            <vertAlign val="subscript"/>
            <sz val="12"/>
            <rFont val="宋体"/>
            <family val="0"/>
          </rPr>
          <t>pmin</t>
        </r>
        <r>
          <rPr>
            <sz val="9"/>
            <rFont val="宋体"/>
            <family val="0"/>
          </rPr>
          <t>=N</t>
        </r>
        <r>
          <rPr>
            <vertAlign val="subscript"/>
            <sz val="12"/>
            <rFont val="宋体"/>
            <family val="0"/>
          </rPr>
          <t>p</t>
        </r>
        <r>
          <rPr>
            <sz val="9"/>
            <rFont val="宋体"/>
            <family val="0"/>
          </rPr>
          <t>A</t>
        </r>
        <r>
          <rPr>
            <vertAlign val="subscript"/>
            <sz val="12"/>
            <rFont val="宋体"/>
            <family val="0"/>
          </rPr>
          <t>e</t>
        </r>
        <r>
          <rPr>
            <sz val="9"/>
            <rFont val="宋体"/>
            <family val="0"/>
          </rPr>
          <t>ΔB/T</t>
        </r>
        <r>
          <rPr>
            <vertAlign val="subscript"/>
            <sz val="12"/>
            <rFont val="宋体"/>
            <family val="0"/>
          </rPr>
          <t>onmax</t>
        </r>
      </text>
    </comment>
    <comment ref="AY36" authorId="0">
      <text>
        <r>
          <rPr>
            <b/>
            <sz val="12"/>
            <rFont val="宋体"/>
            <family val="0"/>
          </rPr>
          <t>变压器副边电压</t>
        </r>
        <r>
          <rPr>
            <sz val="9"/>
            <rFont val="宋体"/>
            <family val="0"/>
          </rPr>
          <t/>
        </r>
      </text>
    </comment>
    <comment ref="C42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  <comment ref="C50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  <comment ref="C47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  <comment ref="C45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  <comment ref="C52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  <comment ref="C55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  <comment ref="C57" authorId="0">
      <text>
        <r>
          <rPr>
            <b/>
            <sz val="12"/>
            <rFont val="宋体"/>
            <family val="0"/>
          </rPr>
          <t>输出电压:</t>
        </r>
        <r>
          <rPr>
            <sz val="9"/>
            <rFont val="宋体"/>
            <family val="0"/>
          </rPr>
          <t xml:space="preserve">
指最大输出电压</t>
        </r>
      </text>
    </comment>
  </commentList>
</comments>
</file>

<file path=xl/sharedStrings.xml><?xml version="1.0" encoding="utf-8"?>
<sst xmlns="http://schemas.openxmlformats.org/spreadsheetml/2006/main" count="392" uniqueCount="239">
  <si>
    <t>电路拓扑</t>
  </si>
  <si>
    <r>
      <t>k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×A</t>
    </r>
    <r>
      <rPr>
        <vertAlign val="subscript"/>
        <sz val="12"/>
        <rFont val="宋体"/>
        <family val="0"/>
      </rPr>
      <t>W</t>
    </r>
  </si>
  <si>
    <r>
      <t xml:space="preserve">   I</t>
    </r>
    <r>
      <rPr>
        <vertAlign val="subscript"/>
        <sz val="12"/>
        <rFont val="宋体"/>
        <family val="0"/>
      </rPr>
      <t>dc</t>
    </r>
  </si>
  <si>
    <r>
      <t>1/f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>×D</t>
    </r>
    <r>
      <rPr>
        <vertAlign val="subscript"/>
        <sz val="12"/>
        <rFont val="宋体"/>
        <family val="0"/>
      </rPr>
      <t>max</t>
    </r>
    <r>
      <rPr>
        <sz val="12"/>
        <rFont val="宋体"/>
        <family val="0"/>
      </rPr>
      <t>/T</t>
    </r>
    <r>
      <rPr>
        <vertAlign val="subscript"/>
        <sz val="12"/>
        <rFont val="宋体"/>
        <family val="0"/>
      </rPr>
      <t>on</t>
    </r>
  </si>
  <si>
    <r>
      <t>kV</t>
    </r>
    <r>
      <rPr>
        <vertAlign val="subscript"/>
        <sz val="12"/>
        <rFont val="宋体"/>
        <family val="0"/>
      </rPr>
      <t>inmin</t>
    </r>
    <r>
      <rPr>
        <sz val="12"/>
        <rFont val="宋体"/>
        <family val="0"/>
      </rPr>
      <t>/V</t>
    </r>
    <r>
      <rPr>
        <vertAlign val="subscript"/>
        <sz val="12"/>
        <rFont val="宋体"/>
        <family val="0"/>
      </rPr>
      <t>imin</t>
    </r>
  </si>
  <si>
    <t>1、</t>
  </si>
  <si>
    <t>确定电路参数:</t>
  </si>
  <si>
    <r>
      <t>A</t>
    </r>
    <r>
      <rPr>
        <vertAlign val="subscript"/>
        <sz val="12"/>
        <rFont val="宋体"/>
        <family val="0"/>
      </rPr>
      <t>P</t>
    </r>
  </si>
  <si>
    <r>
      <t>I</t>
    </r>
    <r>
      <rPr>
        <vertAlign val="subscript"/>
        <sz val="12"/>
        <rFont val="宋体"/>
        <family val="0"/>
      </rPr>
      <t>p</t>
    </r>
  </si>
  <si>
    <t>电路拓扑：</t>
  </si>
  <si>
    <t>全桥</t>
  </si>
  <si>
    <t>推挽</t>
  </si>
  <si>
    <t>工作频率：</t>
  </si>
  <si>
    <r>
      <t>f</t>
    </r>
    <r>
      <rPr>
        <vertAlign val="subscript"/>
        <sz val="12"/>
        <rFont val="宋体"/>
        <family val="0"/>
      </rPr>
      <t>T</t>
    </r>
  </si>
  <si>
    <t>=</t>
  </si>
  <si>
    <t>kHz</t>
  </si>
  <si>
    <t>占 空 比：</t>
  </si>
  <si>
    <r>
      <t>D</t>
    </r>
    <r>
      <rPr>
        <vertAlign val="subscript"/>
        <sz val="12"/>
        <rFont val="宋体"/>
        <family val="0"/>
      </rPr>
      <t>max</t>
    </r>
  </si>
  <si>
    <t>最大磁密：</t>
  </si>
  <si>
    <r>
      <t>B</t>
    </r>
    <r>
      <rPr>
        <vertAlign val="subscript"/>
        <sz val="12"/>
        <rFont val="宋体"/>
        <family val="0"/>
      </rPr>
      <t>max</t>
    </r>
  </si>
  <si>
    <t>T</t>
  </si>
  <si>
    <t>正激</t>
  </si>
  <si>
    <t>半桥</t>
  </si>
  <si>
    <t>电流密度：</t>
  </si>
  <si>
    <t>j</t>
  </si>
  <si>
    <r>
      <t>A/mm</t>
    </r>
    <r>
      <rPr>
        <vertAlign val="superscript"/>
        <sz val="12"/>
        <rFont val="宋体"/>
        <family val="0"/>
      </rPr>
      <t>2</t>
    </r>
  </si>
  <si>
    <t>预估效率：</t>
  </si>
  <si>
    <t>η</t>
  </si>
  <si>
    <t>填充系数：</t>
  </si>
  <si>
    <r>
      <t>k</t>
    </r>
    <r>
      <rPr>
        <vertAlign val="subscript"/>
        <sz val="12"/>
        <rFont val="宋体"/>
        <family val="0"/>
      </rPr>
      <t>W</t>
    </r>
  </si>
  <si>
    <t>2、</t>
  </si>
  <si>
    <t>由电路参数计算以下值:</t>
  </si>
  <si>
    <t>磁通摆幅：</t>
  </si>
  <si>
    <r>
      <t>Δ</t>
    </r>
    <r>
      <rPr>
        <sz val="12"/>
        <rFont val="宋体"/>
        <family val="0"/>
      </rPr>
      <t>B</t>
    </r>
  </si>
  <si>
    <t>开通时间：</t>
  </si>
  <si>
    <r>
      <t>T</t>
    </r>
    <r>
      <rPr>
        <vertAlign val="subscript"/>
        <sz val="12"/>
        <rFont val="宋体"/>
        <family val="0"/>
      </rPr>
      <t>onmax</t>
    </r>
  </si>
  <si>
    <t>μs</t>
  </si>
  <si>
    <t>原边方波
电流峰值</t>
  </si>
  <si>
    <r>
      <t>I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=</t>
    </r>
  </si>
  <si>
    <t>3、</t>
  </si>
  <si>
    <t>试选磁芯型号：</t>
  </si>
  <si>
    <t>磁芯型号：</t>
  </si>
  <si>
    <r>
      <t>A</t>
    </r>
    <r>
      <rPr>
        <vertAlign val="subscript"/>
        <sz val="12"/>
        <rFont val="宋体"/>
        <family val="0"/>
      </rPr>
      <t>e</t>
    </r>
    <r>
      <rPr>
        <sz val="12"/>
        <rFont val="宋体"/>
        <family val="0"/>
      </rPr>
      <t>(cm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 xml:space="preserve">)  </t>
    </r>
  </si>
  <si>
    <r>
      <t>A</t>
    </r>
    <r>
      <rPr>
        <vertAlign val="subscript"/>
        <sz val="12"/>
        <rFont val="宋体"/>
        <family val="0"/>
      </rPr>
      <t>Ｗ</t>
    </r>
    <r>
      <rPr>
        <sz val="12"/>
        <rFont val="宋体"/>
        <family val="0"/>
      </rPr>
      <t>(cm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 xml:space="preserve">)  </t>
    </r>
  </si>
  <si>
    <r>
      <t>ｌ</t>
    </r>
    <r>
      <rPr>
        <vertAlign val="subscript"/>
        <sz val="12"/>
        <rFont val="宋体"/>
        <family val="0"/>
      </rPr>
      <t>Ｗ</t>
    </r>
    <r>
      <rPr>
        <sz val="12"/>
        <rFont val="宋体"/>
        <family val="0"/>
      </rPr>
      <t xml:space="preserve">(cm)  </t>
    </r>
  </si>
  <si>
    <r>
      <t>ｌ</t>
    </r>
    <r>
      <rPr>
        <vertAlign val="subscript"/>
        <sz val="12"/>
        <rFont val="宋体"/>
        <family val="0"/>
      </rPr>
      <t>ｅ</t>
    </r>
    <r>
      <rPr>
        <sz val="12"/>
        <rFont val="宋体"/>
        <family val="0"/>
      </rPr>
      <t xml:space="preserve">(mm)  </t>
    </r>
  </si>
  <si>
    <r>
      <t>V</t>
    </r>
    <r>
      <rPr>
        <vertAlign val="subscript"/>
        <sz val="14"/>
        <rFont val="宋体"/>
        <family val="0"/>
      </rPr>
      <t>e</t>
    </r>
    <r>
      <rPr>
        <sz val="14"/>
        <rFont val="宋体"/>
        <family val="0"/>
      </rPr>
      <t>(cm</t>
    </r>
    <r>
      <rPr>
        <vertAlign val="superscript"/>
        <sz val="14"/>
        <rFont val="宋体"/>
        <family val="0"/>
      </rPr>
      <t>3</t>
    </r>
    <r>
      <rPr>
        <sz val="14"/>
        <rFont val="宋体"/>
        <family val="0"/>
      </rPr>
      <t xml:space="preserve">)  </t>
    </r>
  </si>
  <si>
    <r>
      <t>ｌ</t>
    </r>
    <r>
      <rPr>
        <vertAlign val="subscript"/>
        <sz val="12"/>
        <rFont val="宋体"/>
        <family val="0"/>
      </rPr>
      <t>ｅ</t>
    </r>
    <r>
      <rPr>
        <sz val="12"/>
        <rFont val="宋体"/>
        <family val="0"/>
      </rPr>
      <t>/A</t>
    </r>
    <r>
      <rPr>
        <vertAlign val="subscript"/>
        <sz val="12"/>
        <rFont val="宋体"/>
        <family val="0"/>
      </rPr>
      <t>e</t>
    </r>
    <r>
      <rPr>
        <sz val="12"/>
        <rFont val="宋体"/>
        <family val="0"/>
      </rPr>
      <t>(mm</t>
    </r>
    <r>
      <rPr>
        <vertAlign val="superscript"/>
        <sz val="12"/>
        <rFont val="宋体"/>
        <family val="0"/>
      </rPr>
      <t>-1</t>
    </r>
    <r>
      <rPr>
        <sz val="12"/>
        <rFont val="宋体"/>
        <family val="0"/>
      </rPr>
      <t xml:space="preserve">)  </t>
    </r>
  </si>
  <si>
    <r>
      <t>W</t>
    </r>
    <r>
      <rPr>
        <vertAlign val="subscript"/>
        <sz val="12"/>
        <rFont val="宋体"/>
        <family val="0"/>
      </rPr>
      <t>t</t>
    </r>
    <r>
      <rPr>
        <sz val="12"/>
        <rFont val="宋体"/>
        <family val="0"/>
      </rPr>
      <t xml:space="preserve">(g/对)  </t>
    </r>
  </si>
  <si>
    <t>窗口长(mm)</t>
  </si>
  <si>
    <t>类型/厂家：</t>
  </si>
  <si>
    <t>可输出功率：</t>
  </si>
  <si>
    <r>
      <t>1、变压器原边最小输入电压：V</t>
    </r>
    <r>
      <rPr>
        <vertAlign val="subscript"/>
        <sz val="12"/>
        <rFont val="宋体"/>
        <family val="0"/>
      </rPr>
      <t>pmin</t>
    </r>
    <r>
      <rPr>
        <sz val="12"/>
        <rFont val="宋体"/>
        <family val="0"/>
      </rPr>
      <t>=N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ΔB</t>
    </r>
    <r>
      <rPr>
        <sz val="12"/>
        <rFont val="宋体"/>
        <family val="0"/>
      </rPr>
      <t>A</t>
    </r>
    <r>
      <rPr>
        <vertAlign val="subscript"/>
        <sz val="12"/>
        <rFont val="宋体"/>
        <family val="0"/>
      </rPr>
      <t>e</t>
    </r>
    <r>
      <rPr>
        <sz val="12"/>
        <rFont val="宋体"/>
        <family val="0"/>
      </rPr>
      <t>/T</t>
    </r>
    <r>
      <rPr>
        <vertAlign val="subscript"/>
        <sz val="12"/>
        <rFont val="宋体"/>
        <family val="0"/>
      </rPr>
      <t>onmax</t>
    </r>
    <r>
      <rPr>
        <sz val="12"/>
        <rFont val="宋体"/>
        <family val="0"/>
      </rPr>
      <t>(电磁感应定律，N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：原边匝数)</t>
    </r>
  </si>
  <si>
    <r>
      <t>2、变压器原边方波电流峰值：I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>的值因电路拓扑不同而计算方法不同，</t>
    </r>
    <r>
      <rPr>
        <sz val="6"/>
        <rFont val="宋体"/>
        <family val="0"/>
      </rPr>
      <t xml:space="preserve"> </t>
    </r>
    <r>
      <rPr>
        <sz val="12"/>
        <rFont val="宋体"/>
        <family val="0"/>
      </rPr>
      <t>对于全桥、半桥和正激拓扑而言，
   副边导线各占一半面积，则原边电流有效值I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=0.5A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k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j/N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=   I</t>
    </r>
    <r>
      <rPr>
        <vertAlign val="subscript"/>
        <sz val="12"/>
        <rFont val="宋体"/>
        <family val="0"/>
      </rPr>
      <t>dc</t>
    </r>
    <r>
      <rPr>
        <sz val="12"/>
        <rFont val="宋体"/>
        <family val="0"/>
      </rPr>
      <t xml:space="preserve">；对于推挽电路，原边2个绕组各占
</t>
    </r>
  </si>
  <si>
    <r>
      <t xml:space="preserve">   </t>
    </r>
    <r>
      <rPr>
        <sz val="12"/>
        <rFont val="宋体"/>
        <family val="0"/>
      </rPr>
      <t>1</t>
    </r>
    <r>
      <rPr>
        <sz val="12"/>
        <rFont val="宋体"/>
        <family val="0"/>
      </rPr>
      <t>/4面积</t>
    </r>
    <r>
      <rPr>
        <sz val="12"/>
        <rFont val="宋体"/>
        <family val="0"/>
      </rPr>
      <t>，而电流波形只有占空比的一半，则原边电流有效值</t>
    </r>
    <r>
      <rPr>
        <sz val="12"/>
        <rFont val="宋体"/>
        <family val="0"/>
      </rPr>
      <t>I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=  AWkWj/Np=    I</t>
    </r>
    <r>
      <rPr>
        <vertAlign val="subscript"/>
        <sz val="12"/>
        <rFont val="宋体"/>
        <family val="0"/>
      </rPr>
      <t>dc</t>
    </r>
  </si>
  <si>
    <t>验证公式：</t>
  </si>
  <si>
    <r>
      <t>AP=A</t>
    </r>
    <r>
      <rPr>
        <vertAlign val="subscript"/>
        <sz val="12"/>
        <rFont val="宋体"/>
        <family val="0"/>
      </rPr>
      <t>e</t>
    </r>
    <r>
      <rPr>
        <sz val="12"/>
        <rFont val="宋体"/>
        <family val="0"/>
      </rPr>
      <t>A</t>
    </r>
    <r>
      <rPr>
        <vertAlign val="subscript"/>
        <sz val="12"/>
        <rFont val="宋体"/>
        <family val="0"/>
      </rPr>
      <t>w</t>
    </r>
    <r>
      <rPr>
        <sz val="12"/>
        <rFont val="宋体"/>
        <family val="0"/>
      </rPr>
      <t>=</t>
    </r>
  </si>
  <si>
    <r>
      <t>P</t>
    </r>
    <r>
      <rPr>
        <vertAlign val="subscript"/>
        <sz val="12"/>
        <rFont val="宋体"/>
        <family val="0"/>
      </rPr>
      <t>o</t>
    </r>
  </si>
  <si>
    <t xml:space="preserve">   所以全桥、半桥和正激的              ；推挽电路的</t>
  </si>
  <si>
    <r>
      <t>fB</t>
    </r>
    <r>
      <rPr>
        <vertAlign val="subscript"/>
        <sz val="12"/>
        <rFont val="宋体"/>
        <family val="0"/>
      </rPr>
      <t>max</t>
    </r>
  </si>
  <si>
    <t>4、</t>
  </si>
  <si>
    <t>再确定以下参数:</t>
  </si>
  <si>
    <t>输出电压：</t>
  </si>
  <si>
    <r>
      <t>V</t>
    </r>
    <r>
      <rPr>
        <vertAlign val="subscript"/>
        <sz val="12"/>
        <rFont val="宋体"/>
        <family val="0"/>
      </rPr>
      <t>omax</t>
    </r>
  </si>
  <si>
    <t>V</t>
  </si>
  <si>
    <t>整流压降：</t>
  </si>
  <si>
    <r>
      <t>V</t>
    </r>
    <r>
      <rPr>
        <vertAlign val="subscript"/>
        <sz val="12"/>
        <rFont val="宋体"/>
        <family val="0"/>
      </rPr>
      <t>Df</t>
    </r>
  </si>
  <si>
    <t>输入电压：</t>
  </si>
  <si>
    <r>
      <t>VAC</t>
    </r>
    <r>
      <rPr>
        <vertAlign val="subscript"/>
        <sz val="12"/>
        <rFont val="宋体"/>
        <family val="0"/>
      </rPr>
      <t>min</t>
    </r>
  </si>
  <si>
    <t>整流系数：</t>
  </si>
  <si>
    <r>
      <t>k</t>
    </r>
    <r>
      <rPr>
        <vertAlign val="subscript"/>
        <sz val="12"/>
        <rFont val="宋体"/>
        <family val="0"/>
      </rPr>
      <t>z</t>
    </r>
  </si>
  <si>
    <t>取整副边匝数：</t>
  </si>
  <si>
    <r>
      <t>N</t>
    </r>
    <r>
      <rPr>
        <vertAlign val="subscript"/>
        <sz val="12"/>
        <rFont val="宋体"/>
        <family val="0"/>
      </rPr>
      <t>s</t>
    </r>
  </si>
  <si>
    <t>理论副边匝数：</t>
  </si>
  <si>
    <r>
      <t>N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″</t>
    </r>
  </si>
  <si>
    <t>原边电压：</t>
  </si>
  <si>
    <r>
      <t>V</t>
    </r>
    <r>
      <rPr>
        <vertAlign val="subscript"/>
        <sz val="12"/>
        <rFont val="宋体"/>
        <family val="0"/>
      </rPr>
      <t>pmin</t>
    </r>
  </si>
  <si>
    <t>副边电压：</t>
  </si>
  <si>
    <r>
      <t>V</t>
    </r>
    <r>
      <rPr>
        <vertAlign val="subscript"/>
        <sz val="12"/>
        <rFont val="宋体"/>
        <family val="0"/>
      </rPr>
      <t>smin</t>
    </r>
  </si>
  <si>
    <t>取整原边匝数：</t>
  </si>
  <si>
    <r>
      <t>N</t>
    </r>
    <r>
      <rPr>
        <vertAlign val="subscript"/>
        <sz val="12"/>
        <rFont val="宋体"/>
        <family val="0"/>
      </rPr>
      <t>p</t>
    </r>
  </si>
  <si>
    <t>反算原边匝数：</t>
  </si>
  <si>
    <r>
      <t>N</t>
    </r>
    <r>
      <rPr>
        <vertAlign val="subscript"/>
        <sz val="12"/>
        <rFont val="宋体"/>
        <family val="0"/>
      </rPr>
      <t>p</t>
    </r>
    <r>
      <rPr>
        <sz val="12"/>
        <rFont val="宋体"/>
        <family val="0"/>
      </rPr>
      <t>′</t>
    </r>
  </si>
  <si>
    <t>输出电流：</t>
  </si>
  <si>
    <r>
      <t>I</t>
    </r>
    <r>
      <rPr>
        <vertAlign val="subscript"/>
        <sz val="12"/>
        <rFont val="宋体"/>
        <family val="0"/>
      </rPr>
      <t>omax</t>
    </r>
  </si>
  <si>
    <t>A</t>
  </si>
  <si>
    <t>输出功率：</t>
  </si>
  <si>
    <r>
      <t>P</t>
    </r>
    <r>
      <rPr>
        <vertAlign val="subscript"/>
        <sz val="12"/>
        <rFont val="宋体"/>
        <family val="0"/>
      </rPr>
      <t>omax</t>
    </r>
  </si>
  <si>
    <t>W</t>
  </si>
  <si>
    <t>5、</t>
  </si>
  <si>
    <t>确定原、副边线圈:</t>
  </si>
  <si>
    <t>线圈</t>
  </si>
  <si>
    <t>铜线直径
(mm)</t>
  </si>
  <si>
    <t>选</t>
  </si>
  <si>
    <t>股数</t>
  </si>
  <si>
    <t>导线线号
AWG</t>
  </si>
  <si>
    <r>
      <t>导线直径
(mm</t>
    </r>
    <r>
      <rPr>
        <sz val="12"/>
        <rFont val="宋体"/>
        <family val="0"/>
      </rPr>
      <t>)</t>
    </r>
  </si>
  <si>
    <t>总长度
(cm)</t>
  </si>
  <si>
    <t>总电阻
(mΩ)</t>
  </si>
  <si>
    <t>电流
(A)</t>
  </si>
  <si>
    <r>
      <t>电流密度
(A/mm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</si>
  <si>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功耗
(W)</t>
  </si>
  <si>
    <t>理论导线层数</t>
  </si>
  <si>
    <t>原边线圈：</t>
  </si>
  <si>
    <t>原边线径：</t>
  </si>
  <si>
    <t>穿透深度：</t>
  </si>
  <si>
    <t>线路板走线电感量的计算</t>
  </si>
  <si>
    <t>公  式：</t>
  </si>
  <si>
    <t>=0.2*L*[ln(2*L/(W+H))+0.2235*(W+H)/L+0.5]nH</t>
  </si>
  <si>
    <t>单位:mm,nH</t>
  </si>
  <si>
    <t>走线长度</t>
  </si>
  <si>
    <t>l</t>
  </si>
  <si>
    <t>mm</t>
  </si>
  <si>
    <t>走线宽度</t>
  </si>
  <si>
    <t>铜箔厚度</t>
  </si>
  <si>
    <t>H</t>
  </si>
  <si>
    <r>
      <t>μ</t>
    </r>
    <r>
      <rPr>
        <sz val="12"/>
        <rFont val="宋体"/>
        <family val="0"/>
      </rPr>
      <t>m</t>
    </r>
  </si>
  <si>
    <r>
      <t>注：35</t>
    </r>
    <r>
      <rPr>
        <sz val="11"/>
        <rFont val="宋体"/>
        <family val="0"/>
      </rPr>
      <t>μ</t>
    </r>
    <r>
      <rPr>
        <sz val="12"/>
        <rFont val="宋体"/>
        <family val="0"/>
      </rPr>
      <t>m/盎司</t>
    </r>
  </si>
  <si>
    <t xml:space="preserve"> </t>
  </si>
  <si>
    <t>电 感 量</t>
  </si>
  <si>
    <t>L</t>
  </si>
  <si>
    <t>nH</t>
  </si>
  <si>
    <t>磁芯数据表</t>
  </si>
  <si>
    <t>序号</t>
  </si>
  <si>
    <t>类型</t>
  </si>
  <si>
    <r>
      <t xml:space="preserve"> </t>
    </r>
    <r>
      <rPr>
        <sz val="12"/>
        <color indexed="8"/>
        <rFont val="宋体"/>
        <family val="0"/>
      </rPr>
      <t>零件号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</si>
  <si>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有效参数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</si>
  <si>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A</t>
    </r>
    <r>
      <rPr>
        <vertAlign val="subscript"/>
        <sz val="12"/>
        <color indexed="8"/>
        <rFont val="宋体"/>
        <family val="0"/>
      </rPr>
      <t xml:space="preserve">e
</t>
    </r>
    <r>
      <rPr>
        <sz val="12"/>
        <color indexed="8"/>
        <rFont val="宋体"/>
        <family val="0"/>
      </rPr>
      <t>(cm</t>
    </r>
    <r>
      <rPr>
        <vertAlign val="superscript"/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)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</si>
  <si>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A</t>
    </r>
    <r>
      <rPr>
        <vertAlign val="subscript"/>
        <sz val="12"/>
        <color indexed="8"/>
        <rFont val="宋体"/>
        <family val="0"/>
      </rPr>
      <t xml:space="preserve">w
</t>
    </r>
    <r>
      <rPr>
        <sz val="12"/>
        <color indexed="8"/>
        <rFont val="宋体"/>
        <family val="0"/>
      </rPr>
      <t>(cm</t>
    </r>
    <r>
      <rPr>
        <vertAlign val="superscript"/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)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</si>
  <si>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华文行楷"/>
        <family val="3"/>
      </rPr>
      <t>l</t>
    </r>
    <r>
      <rPr>
        <vertAlign val="subscript"/>
        <sz val="12"/>
        <color indexed="8"/>
        <rFont val="宋体"/>
        <family val="0"/>
      </rPr>
      <t xml:space="preserve">w
</t>
    </r>
    <r>
      <rPr>
        <sz val="12"/>
        <color indexed="8"/>
        <rFont val="宋体"/>
        <family val="0"/>
      </rPr>
      <t xml:space="preserve">(cm)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</si>
  <si>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A</t>
    </r>
    <r>
      <rPr>
        <vertAlign val="subscript"/>
        <sz val="12"/>
        <color indexed="8"/>
        <rFont val="宋体"/>
        <family val="0"/>
      </rPr>
      <t>e</t>
    </r>
    <r>
      <rPr>
        <sz val="12"/>
        <rFont val="宋体"/>
        <family val="0"/>
      </rPr>
      <t>A</t>
    </r>
    <r>
      <rPr>
        <vertAlign val="subscript"/>
        <sz val="12"/>
        <rFont val="宋体"/>
        <family val="0"/>
      </rPr>
      <t xml:space="preserve">w
</t>
    </r>
    <r>
      <rPr>
        <sz val="12"/>
        <rFont val="宋体"/>
        <family val="0"/>
      </rPr>
      <t>(cm</t>
    </r>
    <r>
      <rPr>
        <vertAlign val="superscript"/>
        <sz val="12"/>
        <rFont val="宋体"/>
        <family val="0"/>
      </rPr>
      <t>4</t>
    </r>
    <r>
      <rPr>
        <sz val="12"/>
        <rFont val="宋体"/>
        <family val="0"/>
      </rPr>
      <t>)</t>
    </r>
  </si>
  <si>
    <r>
      <t xml:space="preserve"> </t>
    </r>
    <r>
      <rPr>
        <sz val="12"/>
        <color indexed="8"/>
        <rFont val="华文行楷"/>
        <family val="3"/>
      </rPr>
      <t>l</t>
    </r>
    <r>
      <rPr>
        <vertAlign val="subscript"/>
        <sz val="12"/>
        <color indexed="8"/>
        <rFont val="宋体"/>
        <family val="0"/>
      </rPr>
      <t xml:space="preserve">e
</t>
    </r>
    <r>
      <rPr>
        <sz val="12"/>
        <color indexed="8"/>
        <rFont val="宋体"/>
        <family val="0"/>
      </rPr>
      <t xml:space="preserve">(mm)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</si>
  <si>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V</t>
    </r>
    <r>
      <rPr>
        <vertAlign val="subscript"/>
        <sz val="12"/>
        <color indexed="8"/>
        <rFont val="宋体"/>
        <family val="0"/>
      </rPr>
      <t xml:space="preserve">e
</t>
    </r>
    <r>
      <rPr>
        <sz val="12"/>
        <color indexed="8"/>
        <rFont val="宋体"/>
        <family val="0"/>
      </rPr>
      <t>(mm</t>
    </r>
    <r>
      <rPr>
        <vertAlign val="superscript"/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 xml:space="preserve">)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</si>
  <si>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华文行楷"/>
        <family val="3"/>
      </rPr>
      <t>l</t>
    </r>
    <r>
      <rPr>
        <vertAlign val="subscript"/>
        <sz val="12"/>
        <color indexed="8"/>
        <rFont val="宋体"/>
        <family val="0"/>
      </rPr>
      <t>e</t>
    </r>
    <r>
      <rPr>
        <sz val="12"/>
        <color indexed="8"/>
        <rFont val="宋体"/>
        <family val="0"/>
      </rPr>
      <t>/A</t>
    </r>
    <r>
      <rPr>
        <vertAlign val="subscript"/>
        <sz val="12"/>
        <color indexed="8"/>
        <rFont val="宋体"/>
        <family val="0"/>
      </rPr>
      <t xml:space="preserve">e
</t>
    </r>
    <r>
      <rPr>
        <sz val="12"/>
        <color indexed="8"/>
        <rFont val="宋体"/>
        <family val="0"/>
      </rPr>
      <t>(mm</t>
    </r>
    <r>
      <rPr>
        <vertAlign val="superscript"/>
        <sz val="12"/>
        <color indexed="8"/>
        <rFont val="宋体"/>
        <family val="0"/>
      </rPr>
      <t>-1</t>
    </r>
    <r>
      <rPr>
        <sz val="12"/>
        <color indexed="8"/>
        <rFont val="宋体"/>
        <family val="0"/>
      </rPr>
      <t xml:space="preserve">)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</si>
  <si>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rFont val="宋体"/>
        <family val="0"/>
      </rPr>
      <t xml:space="preserve">Wt
</t>
    </r>
    <r>
      <rPr>
        <sz val="12"/>
        <color indexed="8"/>
        <rFont val="宋体"/>
        <family val="0"/>
      </rPr>
      <t xml:space="preserve">(g/对) </t>
    </r>
    <r>
      <rPr>
        <sz val="12"/>
        <rFont val="宋体"/>
        <family val="0"/>
      </rPr>
      <t xml:space="preserve"> </t>
    </r>
  </si>
  <si>
    <t>E型/TDK</t>
  </si>
  <si>
    <t xml:space="preserve"> EI33/29/13-Z  </t>
  </si>
  <si>
    <t>PQ型/TDK</t>
  </si>
  <si>
    <t>PQ30</t>
  </si>
  <si>
    <t>PQ40</t>
  </si>
  <si>
    <t>PQ50</t>
  </si>
  <si>
    <t>E型/新康达</t>
  </si>
  <si>
    <r>
      <t xml:space="preserve"> </t>
    </r>
    <r>
      <rPr>
        <sz val="12"/>
        <color indexed="8"/>
        <rFont val="宋体"/>
        <family val="0"/>
      </rPr>
      <t xml:space="preserve">E55 </t>
    </r>
    <r>
      <rPr>
        <sz val="12"/>
        <rFont val="宋体"/>
        <family val="0"/>
      </rPr>
      <t xml:space="preserve"> </t>
    </r>
  </si>
  <si>
    <t xml:space="preserve"> EE55/55/21-Z  </t>
  </si>
  <si>
    <t xml:space="preserve"> 双EE55</t>
  </si>
  <si>
    <t xml:space="preserve"> EE8-Z  </t>
  </si>
  <si>
    <t xml:space="preserve"> EF12.6-Z  </t>
  </si>
  <si>
    <t xml:space="preserve"> EI12.5-Z  </t>
  </si>
  <si>
    <t xml:space="preserve"> EE10/11-Z  </t>
  </si>
  <si>
    <t xml:space="preserve"> EE13-Z  </t>
  </si>
  <si>
    <t xml:space="preserve"> EF16-Z  </t>
  </si>
  <si>
    <t xml:space="preserve"> SEE16-Z  </t>
  </si>
  <si>
    <t xml:space="preserve"> EE16-Z  </t>
  </si>
  <si>
    <t xml:space="preserve"> EI16-Z  </t>
  </si>
  <si>
    <t xml:space="preserve"> EE19/16-Z  </t>
  </si>
  <si>
    <t xml:space="preserve"> EE19-Z  </t>
  </si>
  <si>
    <t xml:space="preserve"> EI22-Z  </t>
  </si>
  <si>
    <t xml:space="preserve"> EI19-Z  </t>
  </si>
  <si>
    <t xml:space="preserve"> EI22/19/6-Z  </t>
  </si>
  <si>
    <t xml:space="preserve"> EE22-Z  </t>
  </si>
  <si>
    <t xml:space="preserve"> EE25/19-Z  </t>
  </si>
  <si>
    <t xml:space="preserve"> EE25.4-Z  </t>
  </si>
  <si>
    <t xml:space="preserve"> EI25-Z  </t>
  </si>
  <si>
    <t xml:space="preserve"> EF25-Z  </t>
  </si>
  <si>
    <t xml:space="preserve"> EE30/30/7-Z  </t>
  </si>
  <si>
    <t xml:space="preserve"> EI28-Z  </t>
  </si>
  <si>
    <t xml:space="preserve"> EE30-Z  </t>
  </si>
  <si>
    <t xml:space="preserve"> EI30-Z  </t>
  </si>
  <si>
    <t xml:space="preserve"> EF32-Z  </t>
  </si>
  <si>
    <t xml:space="preserve"> EE35/28B-Z  </t>
  </si>
  <si>
    <t xml:space="preserve"> EE35-Z  </t>
  </si>
  <si>
    <t xml:space="preserve"> EI35-Z  </t>
  </si>
  <si>
    <t xml:space="preserve"> EE50.3/51/6-Z  </t>
  </si>
  <si>
    <t xml:space="preserve"> EE40-Z  </t>
  </si>
  <si>
    <t xml:space="preserve"> EI40-Z  </t>
  </si>
  <si>
    <t xml:space="preserve"> EE41/33C-Z  </t>
  </si>
  <si>
    <t xml:space="preserve"> EE62.3/62/6-Z  </t>
  </si>
  <si>
    <t xml:space="preserve"> EE42/42/15-Z  </t>
  </si>
  <si>
    <t xml:space="preserve"> EE50-Z  </t>
  </si>
  <si>
    <t xml:space="preserve"> EI50-Z  </t>
  </si>
  <si>
    <t xml:space="preserve"> EE42/42/20-Z  </t>
  </si>
  <si>
    <t xml:space="preserve"> EE47/39-Z  </t>
  </si>
  <si>
    <t xml:space="preserve"> EI60-Z  </t>
  </si>
  <si>
    <t xml:space="preserve"> EE60-Z  </t>
  </si>
  <si>
    <t xml:space="preserve"> EE57/47-Z  </t>
  </si>
  <si>
    <r>
      <t xml:space="preserve"> </t>
    </r>
    <r>
      <rPr>
        <sz val="12"/>
        <color indexed="8"/>
        <rFont val="宋体"/>
        <family val="0"/>
      </rPr>
      <t xml:space="preserve">E65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</si>
  <si>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E70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</si>
  <si>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E70B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</si>
  <si>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E80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</si>
  <si>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E85A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</si>
  <si>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E85B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</si>
  <si>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E110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</si>
  <si>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E128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</si>
  <si>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AGW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</si>
  <si>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铜直径mm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</si>
  <si>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铜面积mm2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</si>
  <si>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绝缘直径mm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</si>
  <si>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 xml:space="preserve">带绝缘面积mm2 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</si>
  <si>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Ω/m 
20℃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</si>
  <si>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Ω/m 
100℃</t>
    </r>
    <r>
      <rPr>
        <sz val="12"/>
        <rFont val="宋体"/>
        <family val="0"/>
      </rPr>
      <t xml:space="preserve"> </t>
    </r>
  </si>
  <si>
    <r>
      <t xml:space="preserve"> </t>
    </r>
    <r>
      <rPr>
        <sz val="12"/>
        <color indexed="8"/>
        <rFont val="宋体"/>
        <family val="0"/>
      </rPr>
      <t>A j=4.5A/mm2</t>
    </r>
    <r>
      <rPr>
        <sz val="12"/>
        <rFont val="宋体"/>
        <family val="0"/>
      </rPr>
      <t xml:space="preserve"> </t>
    </r>
  </si>
  <si>
    <t>PCB走线电感计算</t>
  </si>
  <si>
    <t>铜箔长度</t>
  </si>
  <si>
    <t>铜箔宽度</t>
  </si>
  <si>
    <t>毫米</t>
  </si>
  <si>
    <t>mil</t>
  </si>
  <si>
    <t>盎司</t>
  </si>
  <si>
    <t>铜箔电感=</t>
  </si>
  <si>
    <t>=0.2*L*[ln(2*L/(W+H))+0.2235*(W+H)/L+0.5]nH 单位:mm,nH</t>
  </si>
  <si>
    <t>PCB过孔电感计算</t>
  </si>
  <si>
    <t>过孔长度</t>
  </si>
  <si>
    <t>钻孔直径</t>
  </si>
  <si>
    <t>h</t>
  </si>
  <si>
    <t>d</t>
  </si>
  <si>
    <t>英寸</t>
  </si>
  <si>
    <t>过孔电感=</t>
  </si>
  <si>
    <t>=5.08*h[ln(4*h/d)+1] 单位:in,nH,h=0.062</t>
  </si>
  <si>
    <t>PCB过孔电容计算</t>
  </si>
  <si>
    <t>PCB板的
介电常数</t>
  </si>
  <si>
    <t>PCB板
的厚度</t>
  </si>
  <si>
    <t>过孔焊盘
的直径</t>
  </si>
  <si>
    <t>过孔在铺地层上
的隔离孔直径</t>
  </si>
  <si>
    <t>ε</t>
  </si>
  <si>
    <t>D1</t>
  </si>
  <si>
    <t>D2</t>
  </si>
  <si>
    <t>过孔电容=</t>
  </si>
  <si>
    <t>pF</t>
  </si>
  <si>
    <t>=1.41εTD1/(D2-D1)</t>
  </si>
  <si>
    <t>PCB走线电感表</t>
  </si>
  <si>
    <t>按1盎司铜箔厚度计算，铜箔厚度影响不大，                                  单位：nH</t>
  </si>
  <si>
    <t>12mil
线宽</t>
  </si>
  <si>
    <t>30mil
线宽</t>
  </si>
  <si>
    <t>50mil
线宽</t>
  </si>
  <si>
    <t>100mil
线宽</t>
  </si>
  <si>
    <t>200mil
线宽</t>
  </si>
  <si>
    <t>300mil
线宽</t>
  </si>
  <si>
    <t>500mil
线宽</t>
  </si>
  <si>
    <t>800mil
线宽</t>
  </si>
  <si>
    <t>电感量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</si>
</sst>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;_ﰀ"/>
  </numFmts>
  <fonts count="69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Allegro BT"/>
      <family val="2"/>
    </font>
    <font>
      <b/>
      <sz val="20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name val="华文行楷"/>
      <family val="3"/>
    </font>
    <font>
      <b/>
      <sz val="18"/>
      <color indexed="10"/>
      <name val="黑体"/>
      <family val="3"/>
    </font>
    <font>
      <sz val="18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vertAlign val="subscript"/>
      <sz val="12"/>
      <color indexed="8"/>
      <name val="宋体"/>
      <family val="0"/>
    </font>
    <font>
      <vertAlign val="superscript"/>
      <sz val="12"/>
      <color indexed="8"/>
      <name val="宋体"/>
      <family val="0"/>
    </font>
    <font>
      <sz val="12"/>
      <color indexed="8"/>
      <name val="华文行楷"/>
      <family val="3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  <font>
      <vertAlign val="subscript"/>
      <sz val="14"/>
      <name val="宋体"/>
      <family val="0"/>
    </font>
    <font>
      <vertAlign val="superscript"/>
      <sz val="14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vertAlign val="subscript"/>
      <sz val="12"/>
      <color indexed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vertAlign val="subscript"/>
      <sz val="14"/>
      <name val="宋体"/>
      <family val="0"/>
    </font>
    <font>
      <b/>
      <sz val="18"/>
      <name val="华文行楷"/>
      <family val="3"/>
    </font>
    <font>
      <sz val="24"/>
      <color indexed="8"/>
      <name val="华文行楷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3" fillId="9" borderId="0" applyNumberFormat="0" applyBorder="0" applyAlignment="0" applyProtection="0"/>
    <xf numFmtId="0" fontId="55" fillId="0" borderId="4" applyNumberFormat="0" applyFill="0" applyAlignment="0" applyProtection="0"/>
    <xf numFmtId="0" fontId="53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0" borderId="0">
      <alignment vertical="center"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</cellStyleXfs>
  <cellXfs count="231">
    <xf numFmtId="0" fontId="0" fillId="0" borderId="0" xfId="0" applyAlignment="1">
      <alignment/>
    </xf>
    <xf numFmtId="0" fontId="1" fillId="0" borderId="0" xfId="61" applyFont="1" applyAlignment="1">
      <alignment horizontal="center" vertical="center"/>
      <protection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1" fillId="0" borderId="9" xfId="61" applyFont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0" fillId="33" borderId="12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176" fontId="0" fillId="33" borderId="13" xfId="61" applyNumberFormat="1" applyFill="1" applyBorder="1" applyAlignment="1">
      <alignment horizontal="center" vertical="center"/>
      <protection/>
    </xf>
    <xf numFmtId="0" fontId="0" fillId="33" borderId="13" xfId="61" applyFill="1" applyBorder="1" applyAlignment="1" applyProtection="1">
      <alignment horizontal="center" vertical="center"/>
      <protection/>
    </xf>
    <xf numFmtId="0" fontId="0" fillId="34" borderId="13" xfId="61" applyFill="1" applyBorder="1" applyAlignment="1" applyProtection="1">
      <alignment horizontal="center" vertical="center"/>
      <protection locked="0"/>
    </xf>
    <xf numFmtId="0" fontId="2" fillId="33" borderId="14" xfId="61" applyFont="1" applyFill="1" applyBorder="1" applyAlignment="1">
      <alignment vertical="center"/>
      <protection/>
    </xf>
    <xf numFmtId="0" fontId="2" fillId="33" borderId="9" xfId="61" applyFont="1" applyFill="1" applyBorder="1" applyAlignment="1">
      <alignment vertical="center"/>
      <protection/>
    </xf>
    <xf numFmtId="0" fontId="0" fillId="33" borderId="15" xfId="61" applyFill="1" applyBorder="1" applyAlignment="1">
      <alignment horizontal="left" vertical="center"/>
      <protection/>
    </xf>
    <xf numFmtId="0" fontId="0" fillId="33" borderId="16" xfId="61" applyFill="1" applyBorder="1" applyAlignment="1">
      <alignment horizontal="left" vertical="center"/>
      <protection/>
    </xf>
    <xf numFmtId="0" fontId="0" fillId="34" borderId="13" xfId="61" applyFont="1" applyFill="1" applyBorder="1" applyAlignment="1" applyProtection="1">
      <alignment horizontal="center" vertical="center"/>
      <protection locked="0"/>
    </xf>
    <xf numFmtId="0" fontId="0" fillId="33" borderId="10" xfId="61" applyFill="1" applyBorder="1" applyAlignment="1" applyProtection="1">
      <alignment horizontal="center" vertical="center"/>
      <protection/>
    </xf>
    <xf numFmtId="0" fontId="0" fillId="33" borderId="11" xfId="61" applyFill="1" applyBorder="1" applyAlignment="1" applyProtection="1">
      <alignment horizontal="center" vertical="center" wrapText="1"/>
      <protection/>
    </xf>
    <xf numFmtId="0" fontId="0" fillId="33" borderId="17" xfId="61" applyFill="1" applyBorder="1" applyAlignment="1" applyProtection="1">
      <alignment horizontal="center" vertical="center" wrapText="1"/>
      <protection/>
    </xf>
    <xf numFmtId="0" fontId="0" fillId="33" borderId="18" xfId="61" applyFill="1" applyBorder="1" applyAlignment="1" applyProtection="1">
      <alignment horizontal="center" vertical="center"/>
      <protection/>
    </xf>
    <xf numFmtId="0" fontId="0" fillId="33" borderId="12" xfId="61" applyFill="1" applyBorder="1" applyAlignment="1" applyProtection="1">
      <alignment horizontal="center" vertical="center"/>
      <protection/>
    </xf>
    <xf numFmtId="0" fontId="0" fillId="33" borderId="19" xfId="61" applyFill="1" applyBorder="1" applyAlignment="1" applyProtection="1">
      <alignment horizontal="center" vertical="center"/>
      <protection/>
    </xf>
    <xf numFmtId="0" fontId="0" fillId="33" borderId="20" xfId="61" applyFill="1" applyBorder="1" applyAlignment="1" applyProtection="1">
      <alignment horizontal="center" vertical="center"/>
      <protection/>
    </xf>
    <xf numFmtId="0" fontId="0" fillId="34" borderId="19" xfId="61" applyFill="1" applyBorder="1" applyAlignment="1" applyProtection="1">
      <alignment horizontal="center" vertical="center"/>
      <protection locked="0"/>
    </xf>
    <xf numFmtId="0" fontId="0" fillId="34" borderId="20" xfId="61" applyFill="1" applyBorder="1" applyAlignment="1" applyProtection="1">
      <alignment horizontal="center" vertical="center"/>
      <protection locked="0"/>
    </xf>
    <xf numFmtId="0" fontId="2" fillId="33" borderId="14" xfId="61" applyFont="1" applyFill="1" applyBorder="1" applyAlignment="1" applyProtection="1">
      <alignment vertical="center"/>
      <protection/>
    </xf>
    <xf numFmtId="0" fontId="2" fillId="33" borderId="9" xfId="61" applyFont="1" applyFill="1" applyBorder="1" applyAlignment="1" applyProtection="1">
      <alignment vertical="center"/>
      <protection/>
    </xf>
    <xf numFmtId="0" fontId="0" fillId="33" borderId="15" xfId="61" applyFill="1" applyBorder="1" applyAlignment="1" applyProtection="1">
      <alignment horizontal="left" vertical="center"/>
      <protection/>
    </xf>
    <xf numFmtId="0" fontId="0" fillId="33" borderId="16" xfId="61" applyFill="1" applyBorder="1" applyAlignment="1" applyProtection="1">
      <alignment horizontal="left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0" fillId="0" borderId="21" xfId="61" applyBorder="1" applyAlignment="1">
      <alignment horizontal="left" vertical="center"/>
      <protection/>
    </xf>
    <xf numFmtId="0" fontId="0" fillId="34" borderId="13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/>
      <protection/>
    </xf>
    <xf numFmtId="177" fontId="0" fillId="0" borderId="13" xfId="61" applyNumberFormat="1" applyBorder="1" applyAlignment="1">
      <alignment horizontal="right" vertical="center"/>
      <protection/>
    </xf>
    <xf numFmtId="177" fontId="0" fillId="33" borderId="13" xfId="61" applyNumberFormat="1" applyFill="1" applyBorder="1" applyAlignment="1">
      <alignment horizontal="right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23" xfId="61" applyFill="1" applyBorder="1" applyAlignment="1">
      <alignment horizontal="center" vertical="center"/>
      <protection/>
    </xf>
    <xf numFmtId="0" fontId="0" fillId="33" borderId="24" xfId="61" applyFill="1" applyBorder="1" applyAlignment="1">
      <alignment horizontal="left" vertical="center"/>
      <protection/>
    </xf>
    <xf numFmtId="0" fontId="0" fillId="33" borderId="22" xfId="61" applyFill="1" applyBorder="1" applyAlignment="1" applyProtection="1">
      <alignment horizontal="center" vertical="center"/>
      <protection/>
    </xf>
    <xf numFmtId="0" fontId="0" fillId="33" borderId="23" xfId="61" applyFill="1" applyBorder="1" applyAlignment="1" applyProtection="1">
      <alignment horizontal="center" vertical="center"/>
      <protection/>
    </xf>
    <xf numFmtId="0" fontId="0" fillId="33" borderId="24" xfId="6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/>
    </xf>
    <xf numFmtId="0" fontId="0" fillId="0" borderId="0" xfId="64">
      <alignment vertical="center"/>
      <protection/>
    </xf>
    <xf numFmtId="0" fontId="0" fillId="0" borderId="0" xfId="64" applyAlignment="1">
      <alignment horizontal="center" vertical="center"/>
      <protection/>
    </xf>
    <xf numFmtId="0" fontId="5" fillId="0" borderId="0" xfId="64" applyFont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13" xfId="64" applyBorder="1" applyAlignment="1">
      <alignment horizontal="left" vertical="center"/>
      <protection/>
    </xf>
    <xf numFmtId="0" fontId="0" fillId="0" borderId="13" xfId="64" applyBorder="1">
      <alignment vertical="center"/>
      <protection/>
    </xf>
    <xf numFmtId="0" fontId="0" fillId="0" borderId="13" xfId="64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left" vertical="center"/>
      <protection/>
    </xf>
    <xf numFmtId="0" fontId="0" fillId="33" borderId="26" xfId="0" applyFill="1" applyBorder="1" applyAlignment="1" applyProtection="1">
      <alignment horizontal="left" vertical="center"/>
      <protection/>
    </xf>
    <xf numFmtId="0" fontId="0" fillId="33" borderId="28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horizontal="right" vertical="center"/>
      <protection/>
    </xf>
    <xf numFmtId="0" fontId="0" fillId="33" borderId="26" xfId="0" applyFill="1" applyBorder="1" applyAlignment="1" applyProtection="1">
      <alignment horizontal="right" vertical="center"/>
      <protection/>
    </xf>
    <xf numFmtId="0" fontId="0" fillId="33" borderId="27" xfId="0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28" xfId="0" applyFill="1" applyBorder="1" applyAlignment="1" applyProtection="1">
      <alignment horizontal="right" vertical="center"/>
      <protection/>
    </xf>
    <xf numFmtId="0" fontId="0" fillId="33" borderId="21" xfId="0" applyFill="1" applyBorder="1" applyAlignment="1" applyProtection="1">
      <alignment horizontal="right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178" fontId="0" fillId="33" borderId="26" xfId="0" applyNumberFormat="1" applyFill="1" applyBorder="1" applyAlignment="1" applyProtection="1">
      <alignment horizontal="right" vertical="center"/>
      <protection/>
    </xf>
    <xf numFmtId="0" fontId="0" fillId="33" borderId="26" xfId="0" applyNumberFormat="1" applyFill="1" applyBorder="1" applyAlignment="1" applyProtection="1">
      <alignment horizontal="left" vertical="center"/>
      <protection/>
    </xf>
    <xf numFmtId="178" fontId="0" fillId="33" borderId="0" xfId="0" applyNumberForma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 hidden="1" locked="0"/>
    </xf>
    <xf numFmtId="0" fontId="0" fillId="33" borderId="29" xfId="0" applyFill="1" applyBorder="1" applyAlignment="1" applyProtection="1">
      <alignment horizontal="center" vertical="center"/>
      <protection hidden="1" locked="0"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/>
      <protection hidden="1" locked="0"/>
    </xf>
    <xf numFmtId="0" fontId="0" fillId="33" borderId="30" xfId="0" applyFill="1" applyBorder="1" applyAlignment="1" applyProtection="1">
      <alignment horizontal="center" vertical="center"/>
      <protection hidden="1" locked="0"/>
    </xf>
    <xf numFmtId="0" fontId="0" fillId="33" borderId="21" xfId="0" applyFill="1" applyBorder="1" applyAlignment="1" applyProtection="1">
      <alignment horizontal="center" vertical="center"/>
      <protection hidden="1" locked="0"/>
    </xf>
    <xf numFmtId="0" fontId="0" fillId="33" borderId="31" xfId="0" applyFill="1" applyBorder="1" applyAlignment="1" applyProtection="1">
      <alignment horizontal="center" vertical="center"/>
      <protection hidden="1" locked="0"/>
    </xf>
    <xf numFmtId="0" fontId="0" fillId="33" borderId="20" xfId="0" applyFill="1" applyBorder="1" applyAlignment="1" applyProtection="1">
      <alignment horizontal="center" vertical="center"/>
      <protection hidden="1" locked="0"/>
    </xf>
    <xf numFmtId="0" fontId="0" fillId="33" borderId="13" xfId="0" applyFill="1" applyBorder="1" applyAlignment="1" applyProtection="1">
      <alignment horizontal="center" vertical="center"/>
      <protection hidden="1" locked="0"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 horizontal="left" vertical="center"/>
      <protection/>
    </xf>
    <xf numFmtId="0" fontId="0" fillId="33" borderId="31" xfId="0" applyFill="1" applyBorder="1" applyAlignment="1" applyProtection="1">
      <alignment horizontal="left" vertical="center"/>
      <protection/>
    </xf>
    <xf numFmtId="0" fontId="0" fillId="33" borderId="32" xfId="0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left" vertical="center"/>
      <protection/>
    </xf>
    <xf numFmtId="0" fontId="0" fillId="33" borderId="27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29" xfId="0" applyNumberFormat="1" applyFill="1" applyBorder="1" applyAlignment="1" applyProtection="1">
      <alignment horizontal="left" vertical="center"/>
      <protection/>
    </xf>
    <xf numFmtId="0" fontId="0" fillId="33" borderId="30" xfId="0" applyNumberFormat="1" applyFill="1" applyBorder="1" applyAlignment="1" applyProtection="1">
      <alignment horizontal="left" vertical="center"/>
      <protection/>
    </xf>
    <xf numFmtId="0" fontId="0" fillId="33" borderId="28" xfId="0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/>
    </xf>
    <xf numFmtId="0" fontId="11" fillId="33" borderId="26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31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9" xfId="0" applyFont="1" applyBorder="1" applyAlignment="1" applyProtection="1">
      <alignment vertical="center"/>
      <protection/>
    </xf>
    <xf numFmtId="0" fontId="12" fillId="33" borderId="25" xfId="24" applyFont="1" applyFill="1" applyBorder="1" applyAlignment="1" applyProtection="1">
      <alignment horizontal="right" vertical="center"/>
      <protection/>
    </xf>
    <xf numFmtId="0" fontId="12" fillId="33" borderId="26" xfId="24" applyFont="1" applyFill="1" applyBorder="1" applyAlignment="1" applyProtection="1">
      <alignment horizontal="right"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2" fillId="33" borderId="28" xfId="24" applyFont="1" applyFill="1" applyBorder="1" applyAlignment="1" applyProtection="1">
      <alignment horizontal="right" vertical="center"/>
      <protection/>
    </xf>
    <xf numFmtId="0" fontId="12" fillId="33" borderId="21" xfId="24" applyFont="1" applyFill="1" applyBorder="1" applyAlignment="1" applyProtection="1">
      <alignment horizontal="right" vertical="center"/>
      <protection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26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>
      <alignment horizontal="center" vertical="center"/>
    </xf>
    <xf numFmtId="0" fontId="0" fillId="33" borderId="26" xfId="0" applyNumberFormat="1" applyFill="1" applyBorder="1" applyAlignment="1" applyProtection="1">
      <alignment horizontal="center" vertical="center"/>
      <protection/>
    </xf>
    <xf numFmtId="0" fontId="0" fillId="33" borderId="21" xfId="0" applyFill="1" applyBorder="1" applyAlignment="1">
      <alignment horizontal="center" vertical="center"/>
    </xf>
    <xf numFmtId="0" fontId="0" fillId="33" borderId="21" xfId="0" applyNumberFormat="1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9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30" xfId="0" applyNumberForma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33" borderId="31" xfId="0" applyFill="1" applyBorder="1" applyAlignment="1" applyProtection="1">
      <alignment horizontal="left" vertical="center" wrapText="1"/>
      <protection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31" xfId="0" applyFill="1" applyBorder="1" applyAlignment="1" applyProtection="1">
      <alignment horizontal="left" vertical="center"/>
      <protection locked="0"/>
    </xf>
    <xf numFmtId="0" fontId="0" fillId="33" borderId="9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15" xfId="61" applyFill="1" applyBorder="1" applyAlignment="1" quotePrefix="1">
      <alignment horizontal="left" vertical="center"/>
      <protection/>
    </xf>
    <xf numFmtId="0" fontId="0" fillId="33" borderId="15" xfId="61" applyFill="1" applyBorder="1" applyAlignment="1" applyProtection="1" quotePrefix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走线电感及过孔电感电容计算" xfId="61"/>
    <cellStyle name="40% - 强调文字颜色 6" xfId="62"/>
    <cellStyle name="60% - 强调文字颜色 6" xfId="63"/>
    <cellStyle name="常规_计算用表格（走线电感量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24</xdr:row>
      <xdr:rowOff>133350</xdr:rowOff>
    </xdr:from>
    <xdr:to>
      <xdr:col>8</xdr:col>
      <xdr:colOff>28575</xdr:colOff>
      <xdr:row>24</xdr:row>
      <xdr:rowOff>133350</xdr:rowOff>
    </xdr:to>
    <xdr:sp>
      <xdr:nvSpPr>
        <xdr:cNvPr id="1" name="Line 275"/>
        <xdr:cNvSpPr>
          <a:spLocks/>
        </xdr:cNvSpPr>
      </xdr:nvSpPr>
      <xdr:spPr>
        <a:xfrm>
          <a:off x="561975" y="3000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47625</xdr:colOff>
      <xdr:row>29</xdr:row>
      <xdr:rowOff>19050</xdr:rowOff>
    </xdr:from>
    <xdr:to>
      <xdr:col>17</xdr:col>
      <xdr:colOff>104775</xdr:colOff>
      <xdr:row>29</xdr:row>
      <xdr:rowOff>19050</xdr:rowOff>
    </xdr:to>
    <xdr:sp>
      <xdr:nvSpPr>
        <xdr:cNvPr id="2" name="Line 276"/>
        <xdr:cNvSpPr>
          <a:spLocks/>
        </xdr:cNvSpPr>
      </xdr:nvSpPr>
      <xdr:spPr>
        <a:xfrm>
          <a:off x="1819275" y="30003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9</xdr:col>
      <xdr:colOff>95250</xdr:colOff>
      <xdr:row>13</xdr:row>
      <xdr:rowOff>28575</xdr:rowOff>
    </xdr:from>
    <xdr:ext cx="733425" cy="219075"/>
    <xdr:sp>
      <xdr:nvSpPr>
        <xdr:cNvPr id="3" name="AutoShape 277"/>
        <xdr:cNvSpPr>
          <a:spLocks/>
        </xdr:cNvSpPr>
      </xdr:nvSpPr>
      <xdr:spPr>
        <a:xfrm>
          <a:off x="1409700" y="1885950"/>
          <a:ext cx="733425" cy="219075"/>
        </a:xfrm>
        <a:prstGeom prst="wedgeRoundRectCallout">
          <a:avLst>
            <a:gd name="adj1" fmla="val -42208"/>
            <a:gd name="adj2" fmla="val 76087"/>
            <a:gd name="adj3" fmla="val 1666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更多选择</a:t>
          </a:r>
        </a:p>
      </xdr:txBody>
    </xdr:sp>
    <xdr:clientData/>
  </xdr:oneCellAnchor>
  <xdr:oneCellAnchor>
    <xdr:from>
      <xdr:col>22</xdr:col>
      <xdr:colOff>76200</xdr:colOff>
      <xdr:row>13</xdr:row>
      <xdr:rowOff>28575</xdr:rowOff>
    </xdr:from>
    <xdr:ext cx="1047750" cy="209550"/>
    <xdr:sp>
      <xdr:nvSpPr>
        <xdr:cNvPr id="4" name="AutoShape 278"/>
        <xdr:cNvSpPr>
          <a:spLocks/>
        </xdr:cNvSpPr>
      </xdr:nvSpPr>
      <xdr:spPr>
        <a:xfrm>
          <a:off x="3371850" y="1885950"/>
          <a:ext cx="1047750" cy="209550"/>
        </a:xfrm>
        <a:prstGeom prst="wedgeRoundRectCallout">
          <a:avLst>
            <a:gd name="adj1" fmla="val -44546"/>
            <a:gd name="adj2" fmla="val 81819"/>
            <a:gd name="adj3" fmla="val 1666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选择常用磁芯</a:t>
          </a:r>
        </a:p>
      </xdr:txBody>
    </xdr:sp>
    <xdr:clientData/>
  </xdr:oneCellAnchor>
  <xdr:twoCellAnchor>
    <xdr:from>
      <xdr:col>69</xdr:col>
      <xdr:colOff>142875</xdr:colOff>
      <xdr:row>31</xdr:row>
      <xdr:rowOff>114300</xdr:rowOff>
    </xdr:from>
    <xdr:to>
      <xdr:col>84</xdr:col>
      <xdr:colOff>19050</xdr:colOff>
      <xdr:row>38</xdr:row>
      <xdr:rowOff>95250</xdr:rowOff>
    </xdr:to>
    <xdr:pic>
      <xdr:nvPicPr>
        <xdr:cNvPr id="5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3114675"/>
          <a:ext cx="2162175" cy="98107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66</xdr:col>
      <xdr:colOff>0</xdr:colOff>
      <xdr:row>3</xdr:row>
      <xdr:rowOff>0</xdr:rowOff>
    </xdr:to>
    <xdr:sp>
      <xdr:nvSpPr>
        <xdr:cNvPr id="6" name="TextBox 280"/>
        <xdr:cNvSpPr txBox="1">
          <a:spLocks noChangeArrowheads="1"/>
        </xdr:cNvSpPr>
      </xdr:nvSpPr>
      <xdr:spPr>
        <a:xfrm>
          <a:off x="0" y="0"/>
          <a:ext cx="10010775" cy="428625"/>
        </a:xfrm>
        <a:prstGeom prst="rect">
          <a:avLst/>
        </a:prstGeom>
        <a:solidFill>
          <a:srgbClr val="C0C0C0"/>
        </a:solidFill>
        <a:ln w="7620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正激类（全桥、半桥、推挽、正激）变压器计算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01&#12289;&#24320;&#20851;&#30005;&#28304;&#20013;&#30913;&#24615;&#20803;&#22120;&#20214;%20&#36213;&#20462;&#31185;.pdf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oleObject" Target="../embeddings/oleObject_0_6.bin" /><Relationship Id="rId10" Type="http://schemas.openxmlformats.org/officeDocument/2006/relationships/oleObject" Target="../embeddings/oleObject_0_7.bin" /><Relationship Id="rId11" Type="http://schemas.openxmlformats.org/officeDocument/2006/relationships/oleObject" Target="../embeddings/oleObject_0_8.bin" /><Relationship Id="rId12" Type="http://schemas.openxmlformats.org/officeDocument/2006/relationships/oleObject" Target="../embeddings/oleObject_0_9.bin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8"/>
  <sheetViews>
    <sheetView showGridLines="0" tabSelected="1" zoomScale="91" zoomScaleNormal="91" workbookViewId="0" topLeftCell="A1">
      <selection activeCell="BZ46" sqref="BZ46"/>
    </sheetView>
  </sheetViews>
  <sheetFormatPr defaultColWidth="9.00390625" defaultRowHeight="11.25" customHeight="1"/>
  <cols>
    <col min="1" max="1" width="0.875" style="69" customWidth="1"/>
    <col min="2" max="2" width="1.25" style="69" customWidth="1"/>
    <col min="3" max="3" width="1.00390625" style="69" customWidth="1"/>
    <col min="4" max="6" width="2.00390625" style="69" customWidth="1"/>
    <col min="7" max="7" width="4.125" style="69" customWidth="1"/>
    <col min="8" max="24" width="2.00390625" style="69" customWidth="1"/>
    <col min="25" max="25" width="2.125" style="69" customWidth="1"/>
    <col min="26" max="16384" width="2.00390625" style="69" customWidth="1"/>
  </cols>
  <sheetData>
    <row r="1" spans="1:100" s="68" customFormat="1" ht="11.25" customHeight="1">
      <c r="A1" s="70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S1" s="193">
        <v>1</v>
      </c>
      <c r="BT1" s="193">
        <v>2</v>
      </c>
      <c r="BU1" s="193">
        <v>1</v>
      </c>
      <c r="BV1" s="193">
        <v>4</v>
      </c>
      <c r="BW1" s="193">
        <v>5</v>
      </c>
      <c r="BX1" s="193">
        <v>6</v>
      </c>
      <c r="BY1" s="193">
        <v>7</v>
      </c>
      <c r="BZ1" s="212">
        <v>8</v>
      </c>
      <c r="CA1" s="212"/>
      <c r="CB1" s="212"/>
      <c r="CC1" s="212"/>
      <c r="CD1" s="212"/>
      <c r="CE1" s="212">
        <v>13</v>
      </c>
      <c r="CF1" s="212"/>
      <c r="CG1" s="212"/>
      <c r="CH1" s="212"/>
      <c r="CI1" s="105">
        <v>17</v>
      </c>
      <c r="CJ1" s="105"/>
      <c r="CK1" s="105"/>
      <c r="CL1" s="105"/>
      <c r="CM1" s="105"/>
      <c r="CN1" s="105"/>
      <c r="CO1" s="105"/>
      <c r="CP1" s="105">
        <v>24</v>
      </c>
      <c r="CQ1" s="105"/>
      <c r="CR1" s="105"/>
      <c r="CS1" s="105"/>
      <c r="CT1" s="105"/>
      <c r="CU1" s="105"/>
      <c r="CV1" s="105"/>
    </row>
    <row r="2" spans="1:100" s="68" customFormat="1" ht="11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S2" s="194"/>
      <c r="BT2" s="195"/>
      <c r="BU2" s="213" t="s">
        <v>0</v>
      </c>
      <c r="BV2" s="213"/>
      <c r="BW2" s="213"/>
      <c r="BX2" s="213"/>
      <c r="BY2" s="213"/>
      <c r="BZ2" s="214"/>
      <c r="CA2" s="215" t="s">
        <v>1</v>
      </c>
      <c r="CB2" s="215"/>
      <c r="CC2" s="215"/>
      <c r="CD2" s="218"/>
      <c r="CE2" s="214" t="s">
        <v>2</v>
      </c>
      <c r="CF2" s="215"/>
      <c r="CG2" s="215"/>
      <c r="CH2" s="219"/>
      <c r="CI2" s="214" t="s">
        <v>3</v>
      </c>
      <c r="CJ2" s="215"/>
      <c r="CK2" s="215"/>
      <c r="CL2" s="215"/>
      <c r="CM2" s="215"/>
      <c r="CN2" s="215"/>
      <c r="CO2" s="215"/>
      <c r="CP2" s="215" t="s">
        <v>4</v>
      </c>
      <c r="CQ2" s="215"/>
      <c r="CR2" s="215"/>
      <c r="CS2" s="215"/>
      <c r="CT2" s="215"/>
      <c r="CU2" s="215"/>
      <c r="CV2" s="224"/>
    </row>
    <row r="3" spans="1:100" s="68" customFormat="1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S3" s="196"/>
      <c r="BT3" s="197"/>
      <c r="BU3" s="216"/>
      <c r="BV3" s="216"/>
      <c r="BW3" s="216"/>
      <c r="BX3" s="216"/>
      <c r="BY3" s="216"/>
      <c r="BZ3" s="84"/>
      <c r="CA3" s="78"/>
      <c r="CB3" s="78"/>
      <c r="CC3" s="78"/>
      <c r="CD3" s="207"/>
      <c r="CE3" s="76"/>
      <c r="CF3" s="69"/>
      <c r="CG3" s="69"/>
      <c r="CH3" s="97"/>
      <c r="CI3" s="76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225"/>
    </row>
    <row r="4" spans="1:100" s="68" customFormat="1" ht="11.25" customHeight="1">
      <c r="A4" s="71" t="s">
        <v>5</v>
      </c>
      <c r="B4" s="71"/>
      <c r="C4" s="72" t="s">
        <v>6</v>
      </c>
      <c r="D4" s="72"/>
      <c r="E4" s="72"/>
      <c r="F4" s="72"/>
      <c r="G4" s="72"/>
      <c r="H4" s="72"/>
      <c r="I4" s="72"/>
      <c r="J4" s="72"/>
      <c r="K4" s="85"/>
      <c r="L4" s="85"/>
      <c r="M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S4" s="198"/>
      <c r="BT4" s="100"/>
      <c r="BU4" s="216"/>
      <c r="BV4" s="216"/>
      <c r="BW4" s="216"/>
      <c r="BX4" s="216"/>
      <c r="BY4" s="216"/>
      <c r="BZ4" s="76" t="s">
        <v>7</v>
      </c>
      <c r="CA4" s="69"/>
      <c r="CB4" s="69"/>
      <c r="CC4" s="69"/>
      <c r="CD4" s="97"/>
      <c r="CE4" s="84"/>
      <c r="CF4" s="75" t="s">
        <v>8</v>
      </c>
      <c r="CG4" s="75"/>
      <c r="CH4" s="207"/>
      <c r="CI4" s="76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225"/>
    </row>
    <row r="5" spans="1:100" s="68" customFormat="1" ht="11.25" customHeight="1">
      <c r="A5" s="71"/>
      <c r="B5" s="71"/>
      <c r="C5" s="73"/>
      <c r="D5" s="73"/>
      <c r="E5" s="73"/>
      <c r="F5" s="73"/>
      <c r="G5" s="73"/>
      <c r="H5" s="73"/>
      <c r="I5" s="72"/>
      <c r="J5" s="72"/>
      <c r="K5" s="85"/>
      <c r="L5" s="85"/>
      <c r="M5" s="85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S5" s="198"/>
      <c r="BT5" s="100"/>
      <c r="BU5" s="216"/>
      <c r="BV5" s="216"/>
      <c r="BW5" s="216"/>
      <c r="BX5" s="216"/>
      <c r="BY5" s="216"/>
      <c r="BZ5" s="77"/>
      <c r="CA5" s="78"/>
      <c r="CB5" s="78"/>
      <c r="CC5" s="78"/>
      <c r="CD5" s="98"/>
      <c r="CE5" s="88"/>
      <c r="CF5" s="78"/>
      <c r="CG5" s="78"/>
      <c r="CH5" s="220"/>
      <c r="CI5" s="77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226"/>
    </row>
    <row r="6" spans="3:100" s="68" customFormat="1" ht="11.25" customHeight="1">
      <c r="C6" s="74" t="s">
        <v>9</v>
      </c>
      <c r="D6" s="75"/>
      <c r="E6" s="75"/>
      <c r="F6" s="75"/>
      <c r="G6" s="75"/>
      <c r="H6" s="75"/>
      <c r="I6" s="102" t="s">
        <v>10</v>
      </c>
      <c r="J6" s="103"/>
      <c r="K6" s="103"/>
      <c r="L6" s="103"/>
      <c r="M6" s="103"/>
      <c r="N6" s="75" t="s">
        <v>11</v>
      </c>
      <c r="O6" s="75"/>
      <c r="P6" s="75"/>
      <c r="Q6" s="75"/>
      <c r="R6" s="96"/>
      <c r="S6" s="91" t="s">
        <v>12</v>
      </c>
      <c r="T6" s="91"/>
      <c r="U6" s="91"/>
      <c r="V6" s="91"/>
      <c r="W6" s="91"/>
      <c r="X6" s="91"/>
      <c r="Y6" s="91" t="s">
        <v>13</v>
      </c>
      <c r="Z6" s="91"/>
      <c r="AA6" s="91"/>
      <c r="AB6" s="75" t="s">
        <v>14</v>
      </c>
      <c r="AC6" s="144">
        <v>132</v>
      </c>
      <c r="AD6" s="144"/>
      <c r="AE6" s="144"/>
      <c r="AF6" s="80" t="s">
        <v>15</v>
      </c>
      <c r="AG6" s="80"/>
      <c r="AH6" s="134"/>
      <c r="AI6" s="90" t="s">
        <v>16</v>
      </c>
      <c r="AJ6" s="91"/>
      <c r="AK6" s="91"/>
      <c r="AL6" s="91"/>
      <c r="AM6" s="91"/>
      <c r="AN6" s="91"/>
      <c r="AO6" s="91" t="s">
        <v>17</v>
      </c>
      <c r="AP6" s="91"/>
      <c r="AQ6" s="91"/>
      <c r="AR6" s="75" t="s">
        <v>14</v>
      </c>
      <c r="AS6" s="144">
        <v>0.45</v>
      </c>
      <c r="AT6" s="156"/>
      <c r="AU6" s="156"/>
      <c r="AV6" s="157">
        <f>IF(A1=1,IF(AS6&gt;0.45,"太大",""),IF(AS6&gt;0.95,"太大",""))</f>
      </c>
      <c r="AW6" s="164"/>
      <c r="AX6" s="165"/>
      <c r="AY6" s="166" t="s">
        <v>18</v>
      </c>
      <c r="AZ6" s="167"/>
      <c r="BA6" s="167"/>
      <c r="BB6" s="167"/>
      <c r="BC6" s="167"/>
      <c r="BD6" s="167"/>
      <c r="BE6" s="75" t="s">
        <v>19</v>
      </c>
      <c r="BF6" s="75"/>
      <c r="BG6" s="75" t="s">
        <v>14</v>
      </c>
      <c r="BH6" s="144">
        <v>0.16</v>
      </c>
      <c r="BI6" s="144"/>
      <c r="BJ6" s="144"/>
      <c r="BK6" s="75" t="s">
        <v>20</v>
      </c>
      <c r="BL6" s="157">
        <f>IF(BH6&gt;0.168,"太大","")</f>
      </c>
      <c r="BM6" s="164"/>
      <c r="BN6" s="165"/>
      <c r="BO6" s="69"/>
      <c r="BS6" s="198">
        <v>1</v>
      </c>
      <c r="BT6" s="100"/>
      <c r="BU6" s="100" t="s">
        <v>21</v>
      </c>
      <c r="BV6" s="100"/>
      <c r="BW6" s="100"/>
      <c r="BX6" s="100"/>
      <c r="BY6" s="100"/>
      <c r="BZ6" s="217">
        <v>2</v>
      </c>
      <c r="CA6" s="217"/>
      <c r="CB6" s="217"/>
      <c r="CC6" s="100"/>
      <c r="CD6" s="100"/>
      <c r="CE6" s="74">
        <v>1</v>
      </c>
      <c r="CF6" s="75"/>
      <c r="CG6" s="75"/>
      <c r="CH6" s="96"/>
      <c r="CI6" s="100">
        <v>1</v>
      </c>
      <c r="CJ6" s="100"/>
      <c r="CK6" s="100"/>
      <c r="CL6" s="100"/>
      <c r="CM6" s="100"/>
      <c r="CN6" s="100"/>
      <c r="CO6" s="100"/>
      <c r="CP6" s="100">
        <v>1</v>
      </c>
      <c r="CQ6" s="100"/>
      <c r="CR6" s="100"/>
      <c r="CS6" s="100"/>
      <c r="CT6" s="100"/>
      <c r="CU6" s="100"/>
      <c r="CV6" s="227"/>
    </row>
    <row r="7" spans="3:100" s="68" customFormat="1" ht="11.25" customHeight="1">
      <c r="C7" s="76"/>
      <c r="D7" s="69"/>
      <c r="E7" s="69"/>
      <c r="F7" s="69"/>
      <c r="G7" s="69"/>
      <c r="H7" s="69"/>
      <c r="I7" s="104"/>
      <c r="J7" s="105"/>
      <c r="K7" s="105"/>
      <c r="L7" s="105"/>
      <c r="M7" s="105"/>
      <c r="N7" s="69"/>
      <c r="O7" s="69"/>
      <c r="P7" s="69"/>
      <c r="Q7" s="69"/>
      <c r="R7" s="97"/>
      <c r="S7" s="95"/>
      <c r="T7" s="95"/>
      <c r="U7" s="95"/>
      <c r="V7" s="95"/>
      <c r="W7" s="95"/>
      <c r="X7" s="95"/>
      <c r="Y7" s="95"/>
      <c r="Z7" s="95"/>
      <c r="AA7" s="95"/>
      <c r="AB7" s="78"/>
      <c r="AC7" s="145"/>
      <c r="AD7" s="145"/>
      <c r="AE7" s="145"/>
      <c r="AF7" s="73"/>
      <c r="AG7" s="73"/>
      <c r="AH7" s="135"/>
      <c r="AI7" s="94"/>
      <c r="AJ7" s="95"/>
      <c r="AK7" s="95">
        <v>1</v>
      </c>
      <c r="AL7" s="95"/>
      <c r="AM7" s="95"/>
      <c r="AN7" s="95"/>
      <c r="AO7" s="95"/>
      <c r="AP7" s="95"/>
      <c r="AQ7" s="95"/>
      <c r="AR7" s="78"/>
      <c r="AS7" s="158"/>
      <c r="AT7" s="158"/>
      <c r="AU7" s="158"/>
      <c r="AV7" s="159"/>
      <c r="AW7" s="159"/>
      <c r="AX7" s="168"/>
      <c r="AY7" s="169"/>
      <c r="AZ7" s="170"/>
      <c r="BA7" s="170"/>
      <c r="BB7" s="170"/>
      <c r="BC7" s="170"/>
      <c r="BD7" s="170"/>
      <c r="BE7" s="78"/>
      <c r="BF7" s="78"/>
      <c r="BG7" s="78"/>
      <c r="BH7" s="145"/>
      <c r="BI7" s="145"/>
      <c r="BJ7" s="145"/>
      <c r="BK7" s="78"/>
      <c r="BL7" s="159"/>
      <c r="BM7" s="159"/>
      <c r="BN7" s="168"/>
      <c r="BO7" s="69"/>
      <c r="BS7" s="198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77"/>
      <c r="CF7" s="78"/>
      <c r="CG7" s="78"/>
      <c r="CH7" s="98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227"/>
    </row>
    <row r="8" spans="3:100" s="68" customFormat="1" ht="11.25" customHeight="1">
      <c r="C8" s="76"/>
      <c r="D8" s="69"/>
      <c r="E8" s="69"/>
      <c r="F8" s="69"/>
      <c r="G8" s="69"/>
      <c r="H8" s="69"/>
      <c r="I8" s="104" t="s">
        <v>22</v>
      </c>
      <c r="J8" s="105"/>
      <c r="K8" s="105"/>
      <c r="L8" s="105"/>
      <c r="M8" s="105"/>
      <c r="N8" s="105" t="s">
        <v>21</v>
      </c>
      <c r="O8" s="105"/>
      <c r="P8" s="105"/>
      <c r="Q8" s="105"/>
      <c r="R8" s="131"/>
      <c r="S8" s="91" t="s">
        <v>23</v>
      </c>
      <c r="T8" s="91"/>
      <c r="U8" s="91"/>
      <c r="V8" s="91"/>
      <c r="W8" s="91"/>
      <c r="X8" s="91"/>
      <c r="Y8" s="91" t="s">
        <v>24</v>
      </c>
      <c r="Z8" s="91"/>
      <c r="AA8" s="91"/>
      <c r="AB8" s="75" t="s">
        <v>14</v>
      </c>
      <c r="AC8" s="144">
        <v>5</v>
      </c>
      <c r="AD8" s="144"/>
      <c r="AE8" s="144"/>
      <c r="AF8" s="80" t="s">
        <v>25</v>
      </c>
      <c r="AG8" s="80"/>
      <c r="AH8" s="134"/>
      <c r="AI8" s="74" t="s">
        <v>26</v>
      </c>
      <c r="AJ8" s="75"/>
      <c r="AK8" s="75"/>
      <c r="AL8" s="75"/>
      <c r="AM8" s="75"/>
      <c r="AN8" s="75"/>
      <c r="AO8" s="91" t="s">
        <v>27</v>
      </c>
      <c r="AP8" s="91"/>
      <c r="AQ8" s="91"/>
      <c r="AR8" s="75" t="s">
        <v>14</v>
      </c>
      <c r="AS8" s="144">
        <v>0.92</v>
      </c>
      <c r="AT8" s="144"/>
      <c r="AU8" s="144"/>
      <c r="AV8" s="80"/>
      <c r="AW8" s="80"/>
      <c r="AX8" s="134"/>
      <c r="AY8" s="90" t="s">
        <v>28</v>
      </c>
      <c r="AZ8" s="91"/>
      <c r="BA8" s="91"/>
      <c r="BB8" s="91"/>
      <c r="BC8" s="91"/>
      <c r="BD8" s="91"/>
      <c r="BE8" s="75" t="s">
        <v>29</v>
      </c>
      <c r="BF8" s="75"/>
      <c r="BG8" s="75" t="s">
        <v>14</v>
      </c>
      <c r="BH8" s="144">
        <v>0.2</v>
      </c>
      <c r="BI8" s="144"/>
      <c r="BJ8" s="144"/>
      <c r="BK8" s="75"/>
      <c r="BL8" s="184"/>
      <c r="BM8" s="184"/>
      <c r="BN8" s="199"/>
      <c r="BS8" s="198">
        <v>2</v>
      </c>
      <c r="BT8" s="100"/>
      <c r="BU8" s="100" t="s">
        <v>11</v>
      </c>
      <c r="BV8" s="100"/>
      <c r="BW8" s="100"/>
      <c r="BX8" s="100"/>
      <c r="BY8" s="100"/>
      <c r="BZ8" s="100">
        <v>4</v>
      </c>
      <c r="CA8" s="100"/>
      <c r="CB8" s="100"/>
      <c r="CC8" s="100"/>
      <c r="CD8" s="100"/>
      <c r="CE8" s="74">
        <f>SQRT(2)</f>
        <v>1.4142135623730951</v>
      </c>
      <c r="CF8" s="75"/>
      <c r="CG8" s="75"/>
      <c r="CH8" s="96"/>
      <c r="CI8" s="100">
        <v>2</v>
      </c>
      <c r="CJ8" s="100"/>
      <c r="CK8" s="100"/>
      <c r="CL8" s="100"/>
      <c r="CM8" s="100"/>
      <c r="CN8" s="100"/>
      <c r="CO8" s="100"/>
      <c r="CP8" s="100">
        <v>1</v>
      </c>
      <c r="CQ8" s="100"/>
      <c r="CR8" s="100"/>
      <c r="CS8" s="100"/>
      <c r="CT8" s="100"/>
      <c r="CU8" s="100"/>
      <c r="CV8" s="227"/>
    </row>
    <row r="9" spans="3:100" s="68" customFormat="1" ht="11.25" customHeight="1">
      <c r="C9" s="77"/>
      <c r="D9" s="78"/>
      <c r="E9" s="78"/>
      <c r="F9" s="78"/>
      <c r="G9" s="78"/>
      <c r="H9" s="78"/>
      <c r="I9" s="106"/>
      <c r="J9" s="107"/>
      <c r="K9" s="107"/>
      <c r="L9" s="107"/>
      <c r="M9" s="107"/>
      <c r="N9" s="107"/>
      <c r="O9" s="107"/>
      <c r="P9" s="107"/>
      <c r="Q9" s="107"/>
      <c r="R9" s="132"/>
      <c r="S9" s="95"/>
      <c r="T9" s="95"/>
      <c r="U9" s="95">
        <v>1</v>
      </c>
      <c r="V9" s="95"/>
      <c r="W9" s="95"/>
      <c r="X9" s="95"/>
      <c r="Y9" s="95"/>
      <c r="Z9" s="95"/>
      <c r="AA9" s="95"/>
      <c r="AB9" s="78"/>
      <c r="AC9" s="145"/>
      <c r="AD9" s="145"/>
      <c r="AE9" s="145"/>
      <c r="AF9" s="73"/>
      <c r="AG9" s="73"/>
      <c r="AH9" s="135"/>
      <c r="AI9" s="77"/>
      <c r="AJ9" s="78"/>
      <c r="AK9" s="78"/>
      <c r="AL9" s="78"/>
      <c r="AM9" s="78"/>
      <c r="AN9" s="78"/>
      <c r="AO9" s="95"/>
      <c r="AP9" s="95"/>
      <c r="AQ9" s="95"/>
      <c r="AR9" s="78"/>
      <c r="AS9" s="145"/>
      <c r="AT9" s="145"/>
      <c r="AU9" s="145"/>
      <c r="AV9" s="73"/>
      <c r="AW9" s="73"/>
      <c r="AX9" s="135"/>
      <c r="AY9" s="94"/>
      <c r="AZ9" s="95"/>
      <c r="BA9" s="95"/>
      <c r="BB9" s="95"/>
      <c r="BC9" s="95"/>
      <c r="BD9" s="95"/>
      <c r="BE9" s="78"/>
      <c r="BF9" s="78"/>
      <c r="BG9" s="78"/>
      <c r="BH9" s="145"/>
      <c r="BI9" s="145"/>
      <c r="BJ9" s="145"/>
      <c r="BK9" s="78"/>
      <c r="BL9" s="185"/>
      <c r="BM9" s="185"/>
      <c r="BN9" s="200"/>
      <c r="BS9" s="198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77"/>
      <c r="CF9" s="78"/>
      <c r="CG9" s="78"/>
      <c r="CH9" s="98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227"/>
    </row>
    <row r="10" spans="9:100" ht="11.25" customHeight="1"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93"/>
      <c r="T10" s="93"/>
      <c r="U10" s="93"/>
      <c r="V10" s="93"/>
      <c r="W10" s="93"/>
      <c r="X10" s="93"/>
      <c r="Y10" s="93"/>
      <c r="Z10" s="93"/>
      <c r="AA10" s="93"/>
      <c r="AC10" s="146"/>
      <c r="AD10" s="146"/>
      <c r="AE10" s="146"/>
      <c r="AF10" s="72"/>
      <c r="AG10" s="72"/>
      <c r="AH10" s="72"/>
      <c r="AO10" s="93"/>
      <c r="AP10" s="93"/>
      <c r="AQ10" s="93"/>
      <c r="AS10" s="146"/>
      <c r="AT10" s="146"/>
      <c r="AU10" s="146"/>
      <c r="AV10" s="72"/>
      <c r="AW10" s="72"/>
      <c r="AX10" s="72"/>
      <c r="AY10" s="93"/>
      <c r="AZ10" s="93"/>
      <c r="BA10" s="93"/>
      <c r="BB10" s="93"/>
      <c r="BC10" s="93"/>
      <c r="BD10" s="93"/>
      <c r="BE10" s="93"/>
      <c r="BF10" s="93"/>
      <c r="BG10" s="93"/>
      <c r="BI10" s="146"/>
      <c r="BJ10" s="146"/>
      <c r="BK10" s="146"/>
      <c r="BL10" s="186"/>
      <c r="BM10" s="186"/>
      <c r="BN10" s="186"/>
      <c r="BS10" s="198">
        <v>3</v>
      </c>
      <c r="BT10" s="100"/>
      <c r="BU10" s="100" t="s">
        <v>22</v>
      </c>
      <c r="BV10" s="100"/>
      <c r="BW10" s="100"/>
      <c r="BX10" s="100"/>
      <c r="BY10" s="100"/>
      <c r="BZ10" s="100">
        <v>2</v>
      </c>
      <c r="CA10" s="100"/>
      <c r="CB10" s="100"/>
      <c r="CC10" s="100"/>
      <c r="CD10" s="100"/>
      <c r="CE10" s="74">
        <v>1</v>
      </c>
      <c r="CF10" s="75"/>
      <c r="CG10" s="75"/>
      <c r="CH10" s="96"/>
      <c r="CI10" s="100">
        <v>2</v>
      </c>
      <c r="CJ10" s="100"/>
      <c r="CK10" s="100"/>
      <c r="CL10" s="100"/>
      <c r="CM10" s="100"/>
      <c r="CN10" s="100"/>
      <c r="CO10" s="100"/>
      <c r="CP10" s="100">
        <v>2</v>
      </c>
      <c r="CQ10" s="100"/>
      <c r="CR10" s="100"/>
      <c r="CS10" s="100"/>
      <c r="CT10" s="100"/>
      <c r="CU10" s="100"/>
      <c r="CV10" s="227"/>
    </row>
    <row r="11" spans="1:100" ht="11.25" customHeight="1">
      <c r="A11" s="71" t="s">
        <v>30</v>
      </c>
      <c r="B11" s="71"/>
      <c r="C11" s="72" t="s">
        <v>31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133"/>
      <c r="S11" s="90" t="s">
        <v>32</v>
      </c>
      <c r="T11" s="91"/>
      <c r="U11" s="91"/>
      <c r="V11" s="91"/>
      <c r="W11" s="91"/>
      <c r="X11" s="91"/>
      <c r="Y11" s="75" t="s">
        <v>33</v>
      </c>
      <c r="Z11" s="75"/>
      <c r="AA11" s="75" t="s">
        <v>14</v>
      </c>
      <c r="AB11" s="75">
        <f>VLOOKUP(A1,电路拓扑,17,FALSE)*BH6</f>
        <v>0.32</v>
      </c>
      <c r="AC11" s="75"/>
      <c r="AD11" s="75"/>
      <c r="AE11" s="75"/>
      <c r="AF11" s="80" t="s">
        <v>20</v>
      </c>
      <c r="AG11" s="80"/>
      <c r="AH11" s="134"/>
      <c r="AI11" s="90" t="s">
        <v>34</v>
      </c>
      <c r="AJ11" s="91"/>
      <c r="AK11" s="91"/>
      <c r="AL11" s="91"/>
      <c r="AM11" s="91"/>
      <c r="AN11" s="91"/>
      <c r="AO11" s="91" t="s">
        <v>35</v>
      </c>
      <c r="AP11" s="91"/>
      <c r="AQ11" s="91"/>
      <c r="AR11" s="75" t="s">
        <v>14</v>
      </c>
      <c r="AS11" s="75">
        <f>1/AC6*AS6*1000/VLOOKUP(A1,电路拓扑,17,FALSE)</f>
        <v>1.7045454545454546</v>
      </c>
      <c r="AT11" s="75"/>
      <c r="AU11" s="75"/>
      <c r="AV11" s="75"/>
      <c r="AW11" s="75" t="s">
        <v>36</v>
      </c>
      <c r="AX11" s="96"/>
      <c r="AY11" s="171" t="s">
        <v>37</v>
      </c>
      <c r="AZ11" s="172"/>
      <c r="BA11" s="172"/>
      <c r="BB11" s="172"/>
      <c r="BC11" s="172"/>
      <c r="BD11" s="75" t="s">
        <v>38</v>
      </c>
      <c r="BE11" s="75"/>
      <c r="BF11" s="187">
        <f>VLOOKUP(A1,电路拓扑,13,FALSE)</f>
        <v>1.4142135623730951</v>
      </c>
      <c r="BG11" s="187"/>
      <c r="BH11" s="187"/>
      <c r="BI11" s="188"/>
      <c r="BJ11" s="188"/>
      <c r="BK11" s="188"/>
      <c r="BL11" s="188"/>
      <c r="BM11" s="188"/>
      <c r="BN11" s="201"/>
      <c r="BS11" s="198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77"/>
      <c r="CF11" s="78"/>
      <c r="CG11" s="78"/>
      <c r="CH11" s="98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227"/>
    </row>
    <row r="12" spans="1:100" ht="11.25" customHeight="1">
      <c r="A12" s="71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133"/>
      <c r="S12" s="92"/>
      <c r="T12" s="93"/>
      <c r="U12" s="93"/>
      <c r="V12" s="93"/>
      <c r="W12" s="93"/>
      <c r="X12" s="93"/>
      <c r="AF12" s="72"/>
      <c r="AG12" s="72"/>
      <c r="AH12" s="133"/>
      <c r="AI12" s="92"/>
      <c r="AJ12" s="93"/>
      <c r="AK12" s="93"/>
      <c r="AL12" s="93"/>
      <c r="AM12" s="93"/>
      <c r="AN12" s="93"/>
      <c r="AO12" s="93"/>
      <c r="AP12" s="93"/>
      <c r="AQ12" s="93"/>
      <c r="AX12" s="97"/>
      <c r="AY12" s="173"/>
      <c r="AZ12" s="174"/>
      <c r="BA12" s="174"/>
      <c r="BB12" s="174"/>
      <c r="BC12" s="174"/>
      <c r="BF12" s="189"/>
      <c r="BG12" s="189"/>
      <c r="BH12" s="189"/>
      <c r="BI12" s="86"/>
      <c r="BJ12" s="86"/>
      <c r="BK12" s="86"/>
      <c r="BL12" s="86"/>
      <c r="BM12" s="86"/>
      <c r="BN12" s="202"/>
      <c r="BS12" s="198">
        <v>4</v>
      </c>
      <c r="BT12" s="100"/>
      <c r="BU12" s="100" t="s">
        <v>10</v>
      </c>
      <c r="BV12" s="100"/>
      <c r="BW12" s="100"/>
      <c r="BX12" s="100"/>
      <c r="BY12" s="100"/>
      <c r="BZ12" s="100">
        <v>2</v>
      </c>
      <c r="CA12" s="100"/>
      <c r="CB12" s="100"/>
      <c r="CC12" s="100"/>
      <c r="CD12" s="100"/>
      <c r="CE12" s="74">
        <v>1</v>
      </c>
      <c r="CF12" s="75"/>
      <c r="CG12" s="75"/>
      <c r="CH12" s="96"/>
      <c r="CI12" s="100">
        <v>2</v>
      </c>
      <c r="CJ12" s="100"/>
      <c r="CK12" s="100"/>
      <c r="CL12" s="100"/>
      <c r="CM12" s="100"/>
      <c r="CN12" s="100"/>
      <c r="CO12" s="100"/>
      <c r="CP12" s="100">
        <v>1</v>
      </c>
      <c r="CQ12" s="100"/>
      <c r="CR12" s="100"/>
      <c r="CS12" s="100"/>
      <c r="CT12" s="100"/>
      <c r="CU12" s="100"/>
      <c r="CV12" s="227"/>
    </row>
    <row r="13" spans="1:100" ht="11.25" customHeight="1">
      <c r="A13" s="71"/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33"/>
      <c r="S13" s="92"/>
      <c r="T13" s="93"/>
      <c r="U13" s="93"/>
      <c r="V13" s="93"/>
      <c r="W13" s="93"/>
      <c r="X13" s="93"/>
      <c r="AF13" s="72"/>
      <c r="AG13" s="72"/>
      <c r="AH13" s="133"/>
      <c r="AI13" s="92"/>
      <c r="AJ13" s="93"/>
      <c r="AK13" s="93"/>
      <c r="AL13" s="93"/>
      <c r="AM13" s="93"/>
      <c r="AN13" s="93"/>
      <c r="AO13" s="93"/>
      <c r="AP13" s="93"/>
      <c r="AQ13" s="93"/>
      <c r="AX13" s="97"/>
      <c r="AY13" s="173"/>
      <c r="AZ13" s="174"/>
      <c r="BA13" s="174"/>
      <c r="BB13" s="174"/>
      <c r="BC13" s="174"/>
      <c r="BF13" s="187">
        <f>VLOOKUP(A1,电路拓扑,8,FALSE)</f>
        <v>4</v>
      </c>
      <c r="BG13" s="187"/>
      <c r="BH13" s="187"/>
      <c r="BI13" s="86"/>
      <c r="BJ13" s="86"/>
      <c r="BK13" s="86"/>
      <c r="BL13" s="86"/>
      <c r="BM13" s="86"/>
      <c r="BN13" s="202"/>
      <c r="BS13" s="203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21"/>
      <c r="CF13" s="222"/>
      <c r="CG13" s="222"/>
      <c r="CH13" s="223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28"/>
    </row>
    <row r="14" spans="1:100" ht="11.25" customHeight="1">
      <c r="A14" s="71" t="s">
        <v>39</v>
      </c>
      <c r="B14" s="71"/>
      <c r="C14" s="72" t="s">
        <v>40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94"/>
      <c r="T14" s="95"/>
      <c r="U14" s="95"/>
      <c r="V14" s="95"/>
      <c r="W14" s="95"/>
      <c r="X14" s="95"/>
      <c r="Y14" s="78"/>
      <c r="Z14" s="78"/>
      <c r="AA14" s="78"/>
      <c r="AB14" s="78"/>
      <c r="AC14" s="78"/>
      <c r="AD14" s="78"/>
      <c r="AE14" s="78"/>
      <c r="AF14" s="73"/>
      <c r="AG14" s="73"/>
      <c r="AH14" s="135"/>
      <c r="AI14" s="94"/>
      <c r="AJ14" s="95"/>
      <c r="AK14" s="95"/>
      <c r="AL14" s="95"/>
      <c r="AM14" s="95"/>
      <c r="AN14" s="95"/>
      <c r="AO14" s="95"/>
      <c r="AP14" s="95"/>
      <c r="AQ14" s="95"/>
      <c r="AR14" s="78"/>
      <c r="AS14" s="78"/>
      <c r="AT14" s="78"/>
      <c r="AU14" s="78"/>
      <c r="AV14" s="78"/>
      <c r="AW14" s="78"/>
      <c r="AX14" s="98"/>
      <c r="AY14" s="175"/>
      <c r="AZ14" s="176"/>
      <c r="BA14" s="176"/>
      <c r="BB14" s="176"/>
      <c r="BC14" s="176"/>
      <c r="BD14" s="78"/>
      <c r="BE14" s="78"/>
      <c r="BF14" s="189"/>
      <c r="BG14" s="189"/>
      <c r="BH14" s="189"/>
      <c r="BI14" s="190"/>
      <c r="BJ14" s="190"/>
      <c r="BK14" s="190"/>
      <c r="BL14" s="190"/>
      <c r="BM14" s="190"/>
      <c r="BN14" s="20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</row>
    <row r="15" spans="1:100" ht="11.25" customHeight="1">
      <c r="A15" s="71"/>
      <c r="B15" s="71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</row>
    <row r="16" spans="3:100" ht="11.25" customHeight="1">
      <c r="C16" s="79" t="s">
        <v>41</v>
      </c>
      <c r="D16" s="80"/>
      <c r="E16" s="80"/>
      <c r="F16" s="80"/>
      <c r="G16" s="80"/>
      <c r="H16" s="80"/>
      <c r="I16" s="100"/>
      <c r="J16" s="100"/>
      <c r="K16" s="108" t="str">
        <f>VLOOKUP(V16,磁芯数据表,3,FALSE)</f>
        <v> E55  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30">
        <v>5</v>
      </c>
      <c r="W16" s="130"/>
      <c r="X16" s="124" t="s">
        <v>42</v>
      </c>
      <c r="Y16" s="124"/>
      <c r="Z16" s="124"/>
      <c r="AA16" s="124"/>
      <c r="AB16" s="124"/>
      <c r="AC16" s="124" t="s">
        <v>43</v>
      </c>
      <c r="AD16" s="124"/>
      <c r="AE16" s="124"/>
      <c r="AF16" s="124"/>
      <c r="AG16" s="124"/>
      <c r="AH16" s="155" t="s">
        <v>44</v>
      </c>
      <c r="AI16" s="155"/>
      <c r="AJ16" s="155"/>
      <c r="AK16" s="155"/>
      <c r="AL16" s="155"/>
      <c r="AM16" s="155" t="s">
        <v>45</v>
      </c>
      <c r="AN16" s="155"/>
      <c r="AO16" s="155"/>
      <c r="AP16" s="155"/>
      <c r="AQ16" s="155"/>
      <c r="AR16" s="160" t="s">
        <v>46</v>
      </c>
      <c r="AS16" s="160"/>
      <c r="AT16" s="160"/>
      <c r="AU16" s="160"/>
      <c r="AV16" s="161"/>
      <c r="AW16" s="177" t="s">
        <v>47</v>
      </c>
      <c r="AX16" s="178"/>
      <c r="AY16" s="178"/>
      <c r="AZ16" s="178"/>
      <c r="BA16" s="178"/>
      <c r="BB16" s="178"/>
      <c r="BC16" s="179"/>
      <c r="BD16" s="124" t="s">
        <v>48</v>
      </c>
      <c r="BE16" s="100"/>
      <c r="BF16" s="100"/>
      <c r="BG16" s="100"/>
      <c r="BH16" s="100"/>
      <c r="BI16" s="100"/>
      <c r="BJ16" s="74" t="s">
        <v>49</v>
      </c>
      <c r="BK16" s="75"/>
      <c r="BL16" s="75"/>
      <c r="BM16" s="75"/>
      <c r="BN16" s="96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</row>
    <row r="17" spans="3:100" ht="11.25" customHeight="1">
      <c r="C17" s="81"/>
      <c r="D17" s="73"/>
      <c r="E17" s="73">
        <v>1</v>
      </c>
      <c r="F17" s="73"/>
      <c r="G17" s="73"/>
      <c r="H17" s="73"/>
      <c r="I17" s="100"/>
      <c r="J17" s="100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30"/>
      <c r="W17" s="130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62"/>
      <c r="AS17" s="162"/>
      <c r="AT17" s="162"/>
      <c r="AU17" s="162"/>
      <c r="AV17" s="163"/>
      <c r="AW17" s="180"/>
      <c r="AX17" s="181"/>
      <c r="AY17" s="181"/>
      <c r="AZ17" s="181"/>
      <c r="BA17" s="181"/>
      <c r="BB17" s="181"/>
      <c r="BC17" s="182"/>
      <c r="BD17" s="100"/>
      <c r="BE17" s="100"/>
      <c r="BF17" s="100"/>
      <c r="BG17" s="100"/>
      <c r="BH17" s="100"/>
      <c r="BI17" s="100"/>
      <c r="BJ17" s="77"/>
      <c r="BK17" s="78"/>
      <c r="BL17" s="78"/>
      <c r="BM17" s="78"/>
      <c r="BN17" s="98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</row>
    <row r="18" spans="3:100" ht="11.25" customHeight="1">
      <c r="C18" s="74" t="s">
        <v>50</v>
      </c>
      <c r="D18" s="75"/>
      <c r="E18" s="75"/>
      <c r="F18" s="75"/>
      <c r="G18" s="75"/>
      <c r="H18" s="75"/>
      <c r="I18" s="75"/>
      <c r="J18" s="80" t="str">
        <f>VLOOKUP(V16,磁芯数据表,2,FALSE)</f>
        <v>E型/新康达</v>
      </c>
      <c r="K18" s="80"/>
      <c r="L18" s="80"/>
      <c r="M18" s="80"/>
      <c r="N18" s="80"/>
      <c r="O18" s="80"/>
      <c r="P18" s="80"/>
      <c r="Q18" s="80"/>
      <c r="R18" s="134"/>
      <c r="T18" s="83"/>
      <c r="U18" s="83"/>
      <c r="V18" s="83"/>
      <c r="W18" s="83"/>
      <c r="X18" s="124">
        <f>VLOOKUP(V16,磁芯数据表,4,FALSE)</f>
        <v>3.54</v>
      </c>
      <c r="Y18" s="124"/>
      <c r="Z18" s="124"/>
      <c r="AA18" s="124"/>
      <c r="AB18" s="124"/>
      <c r="AC18" s="147">
        <f>VLOOKUP(V16,磁芯数据表,5,FALSE)</f>
        <v>2.8</v>
      </c>
      <c r="AD18" s="147"/>
      <c r="AE18" s="147"/>
      <c r="AF18" s="147"/>
      <c r="AG18" s="149"/>
      <c r="AH18" s="124">
        <f>VLOOKUP(V16,磁芯数据表,6,FALSE)</f>
        <v>0</v>
      </c>
      <c r="AI18" s="124"/>
      <c r="AJ18" s="124"/>
      <c r="AK18" s="124"/>
      <c r="AL18" s="124"/>
      <c r="AM18" s="124">
        <f>VLOOKUP(V16,磁芯数据表,8,FALSE)</f>
        <v>120</v>
      </c>
      <c r="AN18" s="124"/>
      <c r="AO18" s="124"/>
      <c r="AP18" s="124"/>
      <c r="AQ18" s="124"/>
      <c r="AR18" s="147">
        <f>VLOOKUP(V16,磁芯数据表,9,FALSE)</f>
        <v>42500</v>
      </c>
      <c r="AS18" s="147"/>
      <c r="AT18" s="147"/>
      <c r="AU18" s="147"/>
      <c r="AV18" s="149"/>
      <c r="AW18" s="121">
        <f>VLOOKUP(V16,磁芯数据表,10,FALSE)</f>
        <v>0.33898305084745767</v>
      </c>
      <c r="AX18" s="147"/>
      <c r="AY18" s="147"/>
      <c r="AZ18" s="147"/>
      <c r="BA18" s="147"/>
      <c r="BB18" s="147"/>
      <c r="BC18" s="149"/>
      <c r="BD18" s="124">
        <f>VLOOKUP(V16,磁芯数据表,11,FALSE)</f>
        <v>216</v>
      </c>
      <c r="BE18" s="100"/>
      <c r="BF18" s="100"/>
      <c r="BG18" s="100"/>
      <c r="BH18" s="100"/>
      <c r="BI18" s="100"/>
      <c r="BJ18" s="74"/>
      <c r="BK18" s="75"/>
      <c r="BL18" s="75"/>
      <c r="BM18" s="75"/>
      <c r="BN18" s="96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</row>
    <row r="19" spans="3:100" ht="11.25" customHeight="1">
      <c r="C19" s="77"/>
      <c r="D19" s="78"/>
      <c r="E19" s="78"/>
      <c r="F19" s="78"/>
      <c r="G19" s="78"/>
      <c r="H19" s="78"/>
      <c r="I19" s="78"/>
      <c r="J19" s="73"/>
      <c r="K19" s="73"/>
      <c r="L19" s="73"/>
      <c r="M19" s="73"/>
      <c r="N19" s="73"/>
      <c r="O19" s="73"/>
      <c r="P19" s="73"/>
      <c r="Q19" s="73"/>
      <c r="R19" s="135"/>
      <c r="S19" s="84"/>
      <c r="T19" s="85"/>
      <c r="U19" s="85"/>
      <c r="V19" s="85"/>
      <c r="W19" s="85"/>
      <c r="X19" s="136"/>
      <c r="Y19" s="136"/>
      <c r="Z19" s="136"/>
      <c r="AA19" s="136"/>
      <c r="AB19" s="136"/>
      <c r="AC19" s="148"/>
      <c r="AD19" s="148"/>
      <c r="AE19" s="148"/>
      <c r="AF19" s="148"/>
      <c r="AG19" s="151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48"/>
      <c r="AS19" s="148"/>
      <c r="AT19" s="148"/>
      <c r="AU19" s="148"/>
      <c r="AV19" s="151"/>
      <c r="AW19" s="150"/>
      <c r="AX19" s="148"/>
      <c r="AY19" s="148"/>
      <c r="AZ19" s="148"/>
      <c r="BA19" s="148"/>
      <c r="BB19" s="148"/>
      <c r="BC19" s="151"/>
      <c r="BD19" s="183"/>
      <c r="BE19" s="183"/>
      <c r="BF19" s="183"/>
      <c r="BG19" s="183"/>
      <c r="BH19" s="183"/>
      <c r="BI19" s="183"/>
      <c r="BJ19" s="76"/>
      <c r="BN19" s="97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</row>
    <row r="20" spans="3:100" ht="11.25" customHeight="1">
      <c r="C20" s="74" t="s">
        <v>51</v>
      </c>
      <c r="D20" s="75"/>
      <c r="E20" s="75"/>
      <c r="F20" s="75"/>
      <c r="G20" s="75"/>
      <c r="H20" s="75"/>
      <c r="I20" s="96"/>
      <c r="J20" s="109">
        <f>IF(A1=1,BF11/BF13*AS8*SQRT(AS6)*AB11*X18*AC18*BH8*AC8/AS11*10000,IF(A1=2,BF11/BF13*AS8*SQRT(AS6)*AB11*X18*AC18*BH8*AC8/AS11*10000,IF(A1=3,BF11/BF13*AS8*SQRT(AS6)*AB11*X18*AC18*BH8*AC8/AS11*10000,IF(A1=4,BF11/BF13*AS8*SQRT(AS6)*AB11*X18*AC18*BH8*AC8/AS11*10000,"请选择电路拓扑"))))</f>
        <v>4060.240655564806</v>
      </c>
      <c r="K20" s="110"/>
      <c r="L20" s="110"/>
      <c r="M20" s="110"/>
      <c r="N20" s="110"/>
      <c r="O20" s="110"/>
      <c r="P20" s="110"/>
      <c r="Q20" s="110"/>
      <c r="R20" s="110"/>
      <c r="S20" s="79" t="s">
        <v>52</v>
      </c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75"/>
      <c r="BE20" s="83"/>
      <c r="BF20" s="83"/>
      <c r="BG20" s="83"/>
      <c r="BH20" s="83"/>
      <c r="BI20" s="83"/>
      <c r="BJ20" s="83"/>
      <c r="BK20" s="83"/>
      <c r="BL20" s="83"/>
      <c r="BM20" s="83"/>
      <c r="BN20" s="206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</row>
    <row r="21" spans="3:100" ht="11.25" customHeight="1">
      <c r="C21" s="76"/>
      <c r="I21" s="97"/>
      <c r="J21" s="111"/>
      <c r="K21" s="112"/>
      <c r="L21" s="112"/>
      <c r="M21" s="112"/>
      <c r="N21" s="112"/>
      <c r="O21" s="112"/>
      <c r="P21" s="112"/>
      <c r="Q21" s="112"/>
      <c r="R21" s="112"/>
      <c r="S21" s="137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207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</row>
    <row r="22" spans="3:100" ht="12.75" customHeight="1" hidden="1"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138" t="s">
        <v>53</v>
      </c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208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</row>
    <row r="23" spans="3:66" ht="12.75" customHeight="1" hidden="1"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138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208"/>
    </row>
    <row r="24" spans="3:66" ht="12.75" customHeight="1" hidden="1">
      <c r="C24" s="84"/>
      <c r="D24" s="85"/>
      <c r="F24" s="86">
        <f>VLOOKUP(A1,电路拓扑,13,FALSE)</f>
        <v>1.4142135623730951</v>
      </c>
      <c r="G24" s="87"/>
      <c r="H24" s="87"/>
      <c r="S24" s="138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208"/>
    </row>
    <row r="25" spans="3:66" ht="12.75" customHeight="1" hidden="1">
      <c r="C25" s="84"/>
      <c r="D25" s="85"/>
      <c r="F25" s="87"/>
      <c r="G25" s="87"/>
      <c r="H25" s="87"/>
      <c r="S25" s="138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208"/>
    </row>
    <row r="26" spans="3:66" ht="12.75" customHeight="1" hidden="1">
      <c r="C26" s="84"/>
      <c r="D26" s="85"/>
      <c r="F26" s="69">
        <f>VLOOKUP(A1,电路拓扑,8,FALSE)</f>
        <v>4</v>
      </c>
      <c r="S26" s="138" t="s">
        <v>54</v>
      </c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208"/>
    </row>
    <row r="27" spans="3:66" ht="12.75" customHeight="1" hidden="1">
      <c r="C27" s="88"/>
      <c r="D27" s="89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38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208"/>
    </row>
    <row r="28" spans="3:66" ht="12.75" customHeight="1" hidden="1">
      <c r="C28" s="90" t="s">
        <v>55</v>
      </c>
      <c r="D28" s="91"/>
      <c r="E28" s="91"/>
      <c r="F28" s="91"/>
      <c r="G28" s="91"/>
      <c r="H28" s="91"/>
      <c r="I28" s="80" t="s">
        <v>56</v>
      </c>
      <c r="J28" s="113"/>
      <c r="K28" s="113"/>
      <c r="L28" s="113"/>
      <c r="M28" s="114">
        <f>X18*AC18*AC6*BH6/J20*1000</f>
        <v>51.55887489404965</v>
      </c>
      <c r="N28" s="114"/>
      <c r="O28" s="114"/>
      <c r="P28" s="115" t="s">
        <v>57</v>
      </c>
      <c r="Q28" s="115"/>
      <c r="R28" s="140"/>
      <c r="S28" s="138" t="s">
        <v>58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208"/>
    </row>
    <row r="29" spans="3:66" ht="12.75" customHeight="1" hidden="1">
      <c r="C29" s="92"/>
      <c r="D29" s="93"/>
      <c r="E29" s="93"/>
      <c r="F29" s="93"/>
      <c r="G29" s="93"/>
      <c r="H29" s="93"/>
      <c r="I29" s="87"/>
      <c r="J29" s="87"/>
      <c r="K29" s="87"/>
      <c r="L29" s="87"/>
      <c r="M29" s="116"/>
      <c r="N29" s="116"/>
      <c r="O29" s="116"/>
      <c r="P29" s="117"/>
      <c r="Q29" s="117"/>
      <c r="R29" s="141"/>
      <c r="S29" s="138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208"/>
    </row>
    <row r="30" spans="3:66" ht="12.75" customHeight="1" hidden="1">
      <c r="C30" s="92"/>
      <c r="D30" s="93"/>
      <c r="E30" s="93"/>
      <c r="F30" s="93"/>
      <c r="G30" s="93"/>
      <c r="H30" s="93"/>
      <c r="I30" s="87"/>
      <c r="J30" s="87"/>
      <c r="K30" s="87"/>
      <c r="L30" s="87"/>
      <c r="M30" s="69" t="s">
        <v>59</v>
      </c>
      <c r="S30" s="138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208"/>
    </row>
    <row r="31" spans="3:66" ht="12.75" customHeight="1" hidden="1">
      <c r="C31" s="94"/>
      <c r="D31" s="95"/>
      <c r="E31" s="95"/>
      <c r="F31" s="95"/>
      <c r="G31" s="95"/>
      <c r="H31" s="95"/>
      <c r="I31" s="118"/>
      <c r="J31" s="118"/>
      <c r="K31" s="118"/>
      <c r="L31" s="118"/>
      <c r="M31" s="78"/>
      <c r="N31" s="78"/>
      <c r="O31" s="78"/>
      <c r="P31" s="78"/>
      <c r="Q31" s="78"/>
      <c r="R31" s="78"/>
      <c r="S31" s="142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209"/>
    </row>
    <row r="32" spans="1:100" s="68" customFormat="1" ht="11.25" customHeight="1">
      <c r="A32" s="71" t="s">
        <v>60</v>
      </c>
      <c r="B32" s="71"/>
      <c r="C32" s="80" t="s">
        <v>61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</row>
    <row r="33" spans="1:100" s="68" customFormat="1" ht="11.2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</row>
    <row r="34" spans="3:100" s="68" customFormat="1" ht="11.25" customHeight="1">
      <c r="C34" s="90" t="s">
        <v>62</v>
      </c>
      <c r="D34" s="91"/>
      <c r="E34" s="91"/>
      <c r="F34" s="91"/>
      <c r="G34" s="91"/>
      <c r="H34" s="91"/>
      <c r="I34" s="91" t="s">
        <v>63</v>
      </c>
      <c r="J34" s="91"/>
      <c r="K34" s="91"/>
      <c r="L34" s="75" t="s">
        <v>14</v>
      </c>
      <c r="M34" s="119">
        <v>12</v>
      </c>
      <c r="N34" s="119"/>
      <c r="O34" s="119"/>
      <c r="P34" s="80" t="s">
        <v>64</v>
      </c>
      <c r="Q34" s="80"/>
      <c r="R34" s="134"/>
      <c r="S34" s="90" t="s">
        <v>65</v>
      </c>
      <c r="T34" s="91"/>
      <c r="U34" s="91"/>
      <c r="V34" s="91"/>
      <c r="W34" s="91"/>
      <c r="X34" s="91"/>
      <c r="Y34" s="91" t="s">
        <v>66</v>
      </c>
      <c r="Z34" s="91"/>
      <c r="AA34" s="91"/>
      <c r="AB34" s="75" t="s">
        <v>14</v>
      </c>
      <c r="AC34" s="119">
        <v>1.2</v>
      </c>
      <c r="AD34" s="119"/>
      <c r="AE34" s="119"/>
      <c r="AF34" s="80" t="s">
        <v>64</v>
      </c>
      <c r="AG34" s="80"/>
      <c r="AH34" s="134"/>
      <c r="AI34" s="90" t="s">
        <v>67</v>
      </c>
      <c r="AJ34" s="91"/>
      <c r="AK34" s="91"/>
      <c r="AL34" s="91"/>
      <c r="AM34" s="91"/>
      <c r="AN34" s="91"/>
      <c r="AO34" s="91" t="s">
        <v>68</v>
      </c>
      <c r="AP34" s="91"/>
      <c r="AQ34" s="91"/>
      <c r="AR34" s="75" t="s">
        <v>14</v>
      </c>
      <c r="AS34" s="119">
        <v>170</v>
      </c>
      <c r="AT34" s="119"/>
      <c r="AU34" s="119"/>
      <c r="AV34" s="80" t="s">
        <v>64</v>
      </c>
      <c r="AW34" s="80"/>
      <c r="AX34" s="134"/>
      <c r="AY34" s="90" t="s">
        <v>69</v>
      </c>
      <c r="AZ34" s="91"/>
      <c r="BA34" s="91"/>
      <c r="BB34" s="91"/>
      <c r="BC34" s="91"/>
      <c r="BD34" s="91"/>
      <c r="BE34" s="91" t="s">
        <v>70</v>
      </c>
      <c r="BF34" s="91"/>
      <c r="BG34" s="91"/>
      <c r="BH34" s="75" t="s">
        <v>14</v>
      </c>
      <c r="BI34" s="119">
        <v>1.2</v>
      </c>
      <c r="BJ34" s="119"/>
      <c r="BK34" s="119"/>
      <c r="BL34" s="191"/>
      <c r="BM34" s="191"/>
      <c r="BN34" s="210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</row>
    <row r="35" spans="3:100" s="68" customFormat="1" ht="11.25" customHeight="1">
      <c r="C35" s="94"/>
      <c r="D35" s="95"/>
      <c r="E35" s="95"/>
      <c r="F35" s="95"/>
      <c r="G35" s="95"/>
      <c r="H35" s="95"/>
      <c r="I35" s="95"/>
      <c r="J35" s="95"/>
      <c r="K35" s="95"/>
      <c r="L35" s="78"/>
      <c r="M35" s="120"/>
      <c r="N35" s="120"/>
      <c r="O35" s="120"/>
      <c r="P35" s="73"/>
      <c r="Q35" s="73"/>
      <c r="R35" s="135"/>
      <c r="S35" s="94"/>
      <c r="T35" s="95"/>
      <c r="U35" s="95">
        <v>1</v>
      </c>
      <c r="V35" s="95"/>
      <c r="W35" s="95"/>
      <c r="X35" s="95"/>
      <c r="Y35" s="95"/>
      <c r="Z35" s="95"/>
      <c r="AA35" s="95"/>
      <c r="AB35" s="78"/>
      <c r="AC35" s="120"/>
      <c r="AD35" s="120"/>
      <c r="AE35" s="120"/>
      <c r="AF35" s="73"/>
      <c r="AG35" s="73"/>
      <c r="AH35" s="135"/>
      <c r="AI35" s="94"/>
      <c r="AJ35" s="95"/>
      <c r="AK35" s="95"/>
      <c r="AL35" s="95"/>
      <c r="AM35" s="95"/>
      <c r="AN35" s="95"/>
      <c r="AO35" s="95"/>
      <c r="AP35" s="95"/>
      <c r="AQ35" s="95"/>
      <c r="AR35" s="78"/>
      <c r="AS35" s="120"/>
      <c r="AT35" s="120"/>
      <c r="AU35" s="120"/>
      <c r="AV35" s="73"/>
      <c r="AW35" s="73"/>
      <c r="AX35" s="135"/>
      <c r="AY35" s="94"/>
      <c r="AZ35" s="95"/>
      <c r="BA35" s="95"/>
      <c r="BB35" s="95"/>
      <c r="BC35" s="95"/>
      <c r="BD35" s="95"/>
      <c r="BE35" s="95"/>
      <c r="BF35" s="95"/>
      <c r="BG35" s="95"/>
      <c r="BH35" s="78"/>
      <c r="BI35" s="120"/>
      <c r="BJ35" s="120"/>
      <c r="BK35" s="120"/>
      <c r="BL35" s="192"/>
      <c r="BM35" s="192"/>
      <c r="BN35" s="211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</row>
    <row r="36" spans="3:66" ht="11.25" customHeight="1">
      <c r="C36" s="90" t="s">
        <v>71</v>
      </c>
      <c r="D36" s="91"/>
      <c r="E36" s="91"/>
      <c r="F36" s="91"/>
      <c r="G36" s="91"/>
      <c r="H36" s="91"/>
      <c r="I36" s="91"/>
      <c r="J36" s="91"/>
      <c r="K36" s="91"/>
      <c r="L36" s="75" t="s">
        <v>72</v>
      </c>
      <c r="M36" s="75"/>
      <c r="N36" s="75" t="s">
        <v>14</v>
      </c>
      <c r="O36" s="119">
        <v>10</v>
      </c>
      <c r="P36" s="119"/>
      <c r="Q36" s="119"/>
      <c r="R36" s="96" t="s">
        <v>20</v>
      </c>
      <c r="S36" s="90" t="s">
        <v>73</v>
      </c>
      <c r="T36" s="91"/>
      <c r="U36" s="91"/>
      <c r="V36" s="91"/>
      <c r="W36" s="91"/>
      <c r="X36" s="91"/>
      <c r="Y36" s="91"/>
      <c r="Z36" s="91"/>
      <c r="AA36" s="91"/>
      <c r="AB36" s="75" t="s">
        <v>74</v>
      </c>
      <c r="AC36" s="75"/>
      <c r="AD36" s="75" t="s">
        <v>14</v>
      </c>
      <c r="AE36" s="75">
        <f>BI36/AS36*(AS36*AS11/AB11/X18/100)*1.2</f>
        <v>0.2383474576271186</v>
      </c>
      <c r="AF36" s="75"/>
      <c r="AG36" s="75"/>
      <c r="AH36" s="96" t="s">
        <v>20</v>
      </c>
      <c r="AI36" s="90" t="s">
        <v>75</v>
      </c>
      <c r="AJ36" s="91"/>
      <c r="AK36" s="91"/>
      <c r="AL36" s="91"/>
      <c r="AM36" s="91"/>
      <c r="AN36" s="91"/>
      <c r="AO36" s="91" t="s">
        <v>76</v>
      </c>
      <c r="AP36" s="91"/>
      <c r="AQ36" s="91"/>
      <c r="AR36" s="75" t="s">
        <v>14</v>
      </c>
      <c r="AS36" s="75">
        <f>AS34*BI34/VLOOKUP(A1,电路拓扑,24,FALSE)</f>
        <v>204</v>
      </c>
      <c r="AT36" s="75"/>
      <c r="AU36" s="75"/>
      <c r="AV36" s="80" t="s">
        <v>64</v>
      </c>
      <c r="AW36" s="80"/>
      <c r="AX36" s="134"/>
      <c r="AY36" s="90" t="s">
        <v>77</v>
      </c>
      <c r="AZ36" s="91"/>
      <c r="BA36" s="91"/>
      <c r="BB36" s="91"/>
      <c r="BC36" s="91"/>
      <c r="BD36" s="91"/>
      <c r="BE36" s="91" t="s">
        <v>78</v>
      </c>
      <c r="BF36" s="91"/>
      <c r="BG36" s="91"/>
      <c r="BH36" s="75" t="s">
        <v>14</v>
      </c>
      <c r="BI36" s="75">
        <f>M34+AC34</f>
        <v>13.2</v>
      </c>
      <c r="BJ36" s="75"/>
      <c r="BK36" s="75"/>
      <c r="BL36" s="80" t="s">
        <v>64</v>
      </c>
      <c r="BM36" s="80"/>
      <c r="BN36" s="134"/>
    </row>
    <row r="37" spans="3:66" ht="11.25" customHeight="1">
      <c r="C37" s="94"/>
      <c r="D37" s="95"/>
      <c r="E37" s="95"/>
      <c r="F37" s="95"/>
      <c r="G37" s="95"/>
      <c r="H37" s="95"/>
      <c r="I37" s="95"/>
      <c r="J37" s="95"/>
      <c r="K37" s="95"/>
      <c r="L37" s="78"/>
      <c r="M37" s="78"/>
      <c r="N37" s="78"/>
      <c r="O37" s="120"/>
      <c r="P37" s="120"/>
      <c r="Q37" s="120"/>
      <c r="R37" s="98"/>
      <c r="S37" s="94"/>
      <c r="T37" s="95"/>
      <c r="U37" s="95"/>
      <c r="V37" s="95"/>
      <c r="W37" s="95"/>
      <c r="X37" s="95"/>
      <c r="Y37" s="95"/>
      <c r="Z37" s="95"/>
      <c r="AA37" s="95"/>
      <c r="AB37" s="78"/>
      <c r="AC37" s="78"/>
      <c r="AD37" s="78"/>
      <c r="AE37" s="78"/>
      <c r="AF37" s="78"/>
      <c r="AG37" s="78"/>
      <c r="AH37" s="98"/>
      <c r="AI37" s="94"/>
      <c r="AJ37" s="95"/>
      <c r="AK37" s="95"/>
      <c r="AL37" s="95"/>
      <c r="AM37" s="95"/>
      <c r="AN37" s="95"/>
      <c r="AO37" s="95"/>
      <c r="AP37" s="95"/>
      <c r="AQ37" s="95"/>
      <c r="AR37" s="78"/>
      <c r="AS37" s="78"/>
      <c r="AT37" s="78"/>
      <c r="AU37" s="78"/>
      <c r="AV37" s="73"/>
      <c r="AW37" s="73"/>
      <c r="AX37" s="135"/>
      <c r="AY37" s="94"/>
      <c r="AZ37" s="95"/>
      <c r="BA37" s="95"/>
      <c r="BB37" s="95"/>
      <c r="BC37" s="95"/>
      <c r="BD37" s="95"/>
      <c r="BE37" s="95"/>
      <c r="BF37" s="95"/>
      <c r="BG37" s="95"/>
      <c r="BH37" s="78"/>
      <c r="BI37" s="78"/>
      <c r="BJ37" s="78"/>
      <c r="BK37" s="78"/>
      <c r="BL37" s="73"/>
      <c r="BM37" s="73"/>
      <c r="BN37" s="135"/>
    </row>
    <row r="38" spans="1:100" s="68" customFormat="1" ht="11.25" customHeight="1">
      <c r="A38" s="71"/>
      <c r="B38" s="71"/>
      <c r="C38" s="90" t="s">
        <v>79</v>
      </c>
      <c r="D38" s="91"/>
      <c r="E38" s="91"/>
      <c r="F38" s="91"/>
      <c r="G38" s="91"/>
      <c r="H38" s="91"/>
      <c r="I38" s="91"/>
      <c r="J38" s="91"/>
      <c r="K38" s="91"/>
      <c r="L38" s="75" t="s">
        <v>80</v>
      </c>
      <c r="M38" s="75"/>
      <c r="N38" s="75" t="s">
        <v>14</v>
      </c>
      <c r="O38" s="119">
        <v>26</v>
      </c>
      <c r="P38" s="119"/>
      <c r="Q38" s="119"/>
      <c r="R38" s="96" t="s">
        <v>20</v>
      </c>
      <c r="S38" s="90" t="s">
        <v>81</v>
      </c>
      <c r="T38" s="91"/>
      <c r="U38" s="91"/>
      <c r="V38" s="91"/>
      <c r="W38" s="91"/>
      <c r="X38" s="91"/>
      <c r="Y38" s="91"/>
      <c r="Z38" s="91"/>
      <c r="AA38" s="91"/>
      <c r="AB38" s="75" t="s">
        <v>82</v>
      </c>
      <c r="AC38" s="75"/>
      <c r="AD38" s="75" t="s">
        <v>14</v>
      </c>
      <c r="AE38" s="75">
        <f>O36*0.8*AS36/BI36</f>
        <v>123.63636363636364</v>
      </c>
      <c r="AF38" s="75"/>
      <c r="AG38" s="75"/>
      <c r="AH38" s="96" t="s">
        <v>20</v>
      </c>
      <c r="AI38" s="90" t="s">
        <v>83</v>
      </c>
      <c r="AJ38" s="91"/>
      <c r="AK38" s="91"/>
      <c r="AL38" s="91"/>
      <c r="AM38" s="91"/>
      <c r="AN38" s="91"/>
      <c r="AO38" s="91" t="s">
        <v>84</v>
      </c>
      <c r="AP38" s="91"/>
      <c r="AQ38" s="91"/>
      <c r="AR38" s="75" t="s">
        <v>14</v>
      </c>
      <c r="AS38" s="119">
        <v>30</v>
      </c>
      <c r="AT38" s="119"/>
      <c r="AU38" s="119"/>
      <c r="AV38" s="80" t="s">
        <v>85</v>
      </c>
      <c r="AW38" s="80"/>
      <c r="AX38" s="134"/>
      <c r="AY38" s="90" t="s">
        <v>86</v>
      </c>
      <c r="AZ38" s="91"/>
      <c r="BA38" s="91"/>
      <c r="BB38" s="91"/>
      <c r="BC38" s="91"/>
      <c r="BD38" s="91"/>
      <c r="BE38" s="91" t="s">
        <v>87</v>
      </c>
      <c r="BF38" s="91"/>
      <c r="BG38" s="91"/>
      <c r="BH38" s="75" t="s">
        <v>14</v>
      </c>
      <c r="BI38" s="75">
        <f>M34*AS38</f>
        <v>360</v>
      </c>
      <c r="BJ38" s="75"/>
      <c r="BK38" s="75"/>
      <c r="BL38" s="80" t="s">
        <v>88</v>
      </c>
      <c r="BM38" s="80"/>
      <c r="BN38" s="134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</row>
    <row r="39" spans="1:100" s="68" customFormat="1" ht="11.25" customHeight="1">
      <c r="A39" s="71"/>
      <c r="B39" s="71"/>
      <c r="C39" s="94"/>
      <c r="D39" s="95"/>
      <c r="E39" s="95"/>
      <c r="F39" s="95"/>
      <c r="G39" s="95"/>
      <c r="H39" s="95"/>
      <c r="I39" s="95"/>
      <c r="J39" s="95"/>
      <c r="K39" s="95"/>
      <c r="L39" s="78"/>
      <c r="M39" s="78"/>
      <c r="N39" s="78"/>
      <c r="O39" s="120"/>
      <c r="P39" s="120"/>
      <c r="Q39" s="120"/>
      <c r="R39" s="98"/>
      <c r="S39" s="94"/>
      <c r="T39" s="95"/>
      <c r="U39" s="95"/>
      <c r="V39" s="95"/>
      <c r="W39" s="95"/>
      <c r="X39" s="95"/>
      <c r="Y39" s="95"/>
      <c r="Z39" s="95"/>
      <c r="AA39" s="95"/>
      <c r="AB39" s="78"/>
      <c r="AC39" s="78"/>
      <c r="AD39" s="78"/>
      <c r="AE39" s="78"/>
      <c r="AF39" s="78"/>
      <c r="AG39" s="78"/>
      <c r="AH39" s="98"/>
      <c r="AI39" s="94"/>
      <c r="AJ39" s="95"/>
      <c r="AK39" s="95"/>
      <c r="AL39" s="95"/>
      <c r="AM39" s="95"/>
      <c r="AN39" s="95"/>
      <c r="AO39" s="95"/>
      <c r="AP39" s="95"/>
      <c r="AQ39" s="95"/>
      <c r="AR39" s="78"/>
      <c r="AS39" s="120"/>
      <c r="AT39" s="120"/>
      <c r="AU39" s="120"/>
      <c r="AV39" s="73"/>
      <c r="AW39" s="73"/>
      <c r="AX39" s="135"/>
      <c r="AY39" s="94"/>
      <c r="AZ39" s="95"/>
      <c r="BA39" s="95"/>
      <c r="BB39" s="95"/>
      <c r="BC39" s="95"/>
      <c r="BD39" s="95"/>
      <c r="BE39" s="95"/>
      <c r="BF39" s="95"/>
      <c r="BG39" s="95"/>
      <c r="BH39" s="78"/>
      <c r="BI39" s="78"/>
      <c r="BJ39" s="78"/>
      <c r="BK39" s="78"/>
      <c r="BL39" s="73"/>
      <c r="BM39" s="73"/>
      <c r="BN39" s="135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</row>
    <row r="40" spans="1:66" ht="9" customHeight="1">
      <c r="A40" s="71" t="s">
        <v>89</v>
      </c>
      <c r="B40" s="71"/>
      <c r="C40" s="80" t="s">
        <v>90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</row>
    <row r="41" spans="1:66" ht="11.2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</row>
    <row r="42" spans="3:60" ht="11.25" customHeight="1">
      <c r="C42" s="74" t="s">
        <v>91</v>
      </c>
      <c r="D42" s="75"/>
      <c r="E42" s="75"/>
      <c r="F42" s="75"/>
      <c r="G42" s="75"/>
      <c r="H42" s="96"/>
      <c r="I42" s="121" t="s">
        <v>92</v>
      </c>
      <c r="J42" s="75"/>
      <c r="K42" s="75"/>
      <c r="L42" s="75"/>
      <c r="M42" s="96"/>
      <c r="N42" s="122" t="s">
        <v>93</v>
      </c>
      <c r="O42" s="123"/>
      <c r="P42" s="124" t="s">
        <v>94</v>
      </c>
      <c r="Q42" s="124"/>
      <c r="R42" s="124"/>
      <c r="S42" s="122" t="s">
        <v>93</v>
      </c>
      <c r="T42" s="123"/>
      <c r="U42" s="121" t="s">
        <v>95</v>
      </c>
      <c r="V42" s="75"/>
      <c r="W42" s="75"/>
      <c r="X42" s="75"/>
      <c r="Y42" s="96"/>
      <c r="Z42" s="121" t="s">
        <v>96</v>
      </c>
      <c r="AA42" s="147"/>
      <c r="AB42" s="147"/>
      <c r="AC42" s="147"/>
      <c r="AD42" s="149"/>
      <c r="AE42" s="121" t="s">
        <v>97</v>
      </c>
      <c r="AF42" s="147"/>
      <c r="AG42" s="147"/>
      <c r="AH42" s="147"/>
      <c r="AI42" s="149"/>
      <c r="AJ42" s="121" t="s">
        <v>98</v>
      </c>
      <c r="AK42" s="147"/>
      <c r="AL42" s="147"/>
      <c r="AM42" s="147"/>
      <c r="AN42" s="149"/>
      <c r="AO42" s="121" t="s">
        <v>99</v>
      </c>
      <c r="AP42" s="147"/>
      <c r="AQ42" s="147"/>
      <c r="AR42" s="147"/>
      <c r="AS42" s="149"/>
      <c r="AT42" s="121" t="s">
        <v>100</v>
      </c>
      <c r="AU42" s="147"/>
      <c r="AV42" s="147"/>
      <c r="AW42" s="147"/>
      <c r="AX42" s="149"/>
      <c r="AY42" s="121" t="s">
        <v>101</v>
      </c>
      <c r="AZ42" s="147"/>
      <c r="BA42" s="147"/>
      <c r="BB42" s="147"/>
      <c r="BC42" s="149"/>
      <c r="BD42" s="121" t="s">
        <v>102</v>
      </c>
      <c r="BE42" s="147"/>
      <c r="BF42" s="147"/>
      <c r="BG42" s="147"/>
      <c r="BH42" s="149"/>
    </row>
    <row r="43" spans="3:60" ht="11.25" customHeight="1">
      <c r="C43" s="76"/>
      <c r="H43" s="97"/>
      <c r="I43" s="76"/>
      <c r="M43" s="97"/>
      <c r="N43" s="125"/>
      <c r="O43" s="126"/>
      <c r="P43" s="124"/>
      <c r="Q43" s="124"/>
      <c r="R43" s="124"/>
      <c r="S43" s="125"/>
      <c r="T43" s="126"/>
      <c r="U43" s="76"/>
      <c r="Y43" s="97"/>
      <c r="Z43" s="150"/>
      <c r="AA43" s="148"/>
      <c r="AB43" s="148"/>
      <c r="AC43" s="148"/>
      <c r="AD43" s="151"/>
      <c r="AE43" s="150"/>
      <c r="AF43" s="148"/>
      <c r="AG43" s="148"/>
      <c r="AH43" s="148"/>
      <c r="AI43" s="151"/>
      <c r="AJ43" s="150"/>
      <c r="AK43" s="148"/>
      <c r="AL43" s="148"/>
      <c r="AM43" s="148"/>
      <c r="AN43" s="151"/>
      <c r="AO43" s="150"/>
      <c r="AP43" s="148"/>
      <c r="AQ43" s="148"/>
      <c r="AR43" s="148"/>
      <c r="AS43" s="151"/>
      <c r="AT43" s="150"/>
      <c r="AU43" s="148"/>
      <c r="AV43" s="148"/>
      <c r="AW43" s="148"/>
      <c r="AX43" s="151"/>
      <c r="AY43" s="150"/>
      <c r="AZ43" s="148"/>
      <c r="BA43" s="148"/>
      <c r="BB43" s="148"/>
      <c r="BC43" s="151"/>
      <c r="BD43" s="150"/>
      <c r="BE43" s="148"/>
      <c r="BF43" s="148"/>
      <c r="BG43" s="148"/>
      <c r="BH43" s="151"/>
    </row>
    <row r="44" spans="3:60" ht="11.25" customHeight="1">
      <c r="C44" s="77"/>
      <c r="D44" s="78"/>
      <c r="E44" s="78"/>
      <c r="F44" s="78"/>
      <c r="G44" s="78"/>
      <c r="H44" s="98"/>
      <c r="I44" s="77"/>
      <c r="J44" s="78"/>
      <c r="K44" s="78"/>
      <c r="L44" s="78"/>
      <c r="M44" s="98"/>
      <c r="N44" s="127"/>
      <c r="O44" s="128"/>
      <c r="P44" s="124"/>
      <c r="Q44" s="124"/>
      <c r="R44" s="124"/>
      <c r="S44" s="127"/>
      <c r="T44" s="128"/>
      <c r="U44" s="77"/>
      <c r="V44" s="78"/>
      <c r="W44" s="78"/>
      <c r="X44" s="78"/>
      <c r="Y44" s="98"/>
      <c r="Z44" s="152"/>
      <c r="AA44" s="153"/>
      <c r="AB44" s="153"/>
      <c r="AC44" s="153"/>
      <c r="AD44" s="154"/>
      <c r="AE44" s="152"/>
      <c r="AF44" s="153"/>
      <c r="AG44" s="153"/>
      <c r="AH44" s="153"/>
      <c r="AI44" s="154"/>
      <c r="AJ44" s="152"/>
      <c r="AK44" s="153"/>
      <c r="AL44" s="153"/>
      <c r="AM44" s="153"/>
      <c r="AN44" s="154"/>
      <c r="AO44" s="152"/>
      <c r="AP44" s="153"/>
      <c r="AQ44" s="153"/>
      <c r="AR44" s="153"/>
      <c r="AS44" s="154"/>
      <c r="AT44" s="152"/>
      <c r="AU44" s="153"/>
      <c r="AV44" s="153"/>
      <c r="AW44" s="153"/>
      <c r="AX44" s="154"/>
      <c r="AY44" s="152"/>
      <c r="AZ44" s="153"/>
      <c r="BA44" s="153"/>
      <c r="BB44" s="153"/>
      <c r="BC44" s="154"/>
      <c r="BD44" s="152"/>
      <c r="BE44" s="153"/>
      <c r="BF44" s="153"/>
      <c r="BG44" s="153"/>
      <c r="BH44" s="154"/>
    </row>
    <row r="45" spans="3:60" ht="11.25" customHeight="1">
      <c r="C45" s="90" t="s">
        <v>103</v>
      </c>
      <c r="D45" s="91"/>
      <c r="E45" s="91"/>
      <c r="F45" s="91"/>
      <c r="G45" s="91"/>
      <c r="H45" s="91"/>
      <c r="I45" s="74">
        <f>VLOOKUP(N45,线规表,3,FALSE)</f>
        <v>0.57</v>
      </c>
      <c r="J45" s="75"/>
      <c r="K45" s="75"/>
      <c r="L45" s="75"/>
      <c r="M45" s="75"/>
      <c r="N45" s="129">
        <v>19</v>
      </c>
      <c r="O45" s="130"/>
      <c r="P45" s="74">
        <v>6</v>
      </c>
      <c r="Q45" s="75"/>
      <c r="R45" s="75"/>
      <c r="S45" s="129">
        <v>1</v>
      </c>
      <c r="T45" s="130"/>
      <c r="U45" s="100" t="str">
        <f>VLOOKUP(N45,线规表,2,FALSE)</f>
        <v> AGW  </v>
      </c>
      <c r="V45" s="100"/>
      <c r="W45" s="100"/>
      <c r="X45" s="100"/>
      <c r="Y45" s="100"/>
      <c r="Z45" s="100">
        <f>VLOOKUP(N45,线规表,5,FALSE)</f>
        <v>0.64</v>
      </c>
      <c r="AA45" s="100"/>
      <c r="AB45" s="100"/>
      <c r="AC45" s="100"/>
      <c r="AD45" s="100"/>
      <c r="AE45" s="100">
        <f>AH18*O38</f>
        <v>0</v>
      </c>
      <c r="AF45" s="100"/>
      <c r="AG45" s="100"/>
      <c r="AH45" s="100"/>
      <c r="AI45" s="100"/>
      <c r="AJ45" s="74">
        <f>AE45/100*VLOOKUP(N45,线规表,8,FALSE)/P45*1000</f>
        <v>0</v>
      </c>
      <c r="AK45" s="75"/>
      <c r="AL45" s="75"/>
      <c r="AM45" s="75"/>
      <c r="AN45" s="96"/>
      <c r="AO45" s="100">
        <f>M34*AS38/(AS8*AS6*AS36)/(VLOOKUP(A1,电路拓扑,13,FALSE))</f>
        <v>3.0140954014771846</v>
      </c>
      <c r="AP45" s="100"/>
      <c r="AQ45" s="100"/>
      <c r="AR45" s="100"/>
      <c r="AS45" s="100"/>
      <c r="AT45" s="100">
        <f>AO45/(3.14159265358979*I45*I45/4*P45)</f>
        <v>1.9686393027419529</v>
      </c>
      <c r="AU45" s="100"/>
      <c r="AV45" s="100"/>
      <c r="AW45" s="100"/>
      <c r="AX45" s="100"/>
      <c r="AY45" s="100">
        <f>AO45*AO45*AJ45/1000</f>
        <v>0</v>
      </c>
      <c r="AZ45" s="100"/>
      <c r="BA45" s="100"/>
      <c r="BB45" s="100"/>
      <c r="BC45" s="100"/>
      <c r="BD45" s="100"/>
      <c r="BE45" s="100"/>
      <c r="BF45" s="100"/>
      <c r="BG45" s="100"/>
      <c r="BH45" s="100"/>
    </row>
    <row r="46" spans="3:60" ht="11.25" customHeight="1">
      <c r="C46" s="94"/>
      <c r="D46" s="95"/>
      <c r="E46" s="95"/>
      <c r="F46" s="95"/>
      <c r="G46" s="95"/>
      <c r="H46" s="95"/>
      <c r="I46" s="77"/>
      <c r="J46" s="78"/>
      <c r="K46" s="78"/>
      <c r="L46" s="78"/>
      <c r="M46" s="78"/>
      <c r="N46" s="129"/>
      <c r="O46" s="130"/>
      <c r="P46" s="77"/>
      <c r="Q46" s="78"/>
      <c r="R46" s="78"/>
      <c r="S46" s="129"/>
      <c r="T46" s="13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77"/>
      <c r="AK46" s="78"/>
      <c r="AL46" s="78"/>
      <c r="AM46" s="78"/>
      <c r="AN46" s="98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</row>
    <row r="47" spans="3:60" ht="11.25" customHeight="1">
      <c r="C47" s="99" t="s">
        <v>104</v>
      </c>
      <c r="D47" s="99"/>
      <c r="E47" s="99"/>
      <c r="F47" s="99"/>
      <c r="G47" s="99"/>
      <c r="H47" s="99"/>
      <c r="I47" s="74">
        <f>VLOOKUP(N47,线规表,3,FALSE)</f>
        <v>0.57</v>
      </c>
      <c r="J47" s="75"/>
      <c r="K47" s="75"/>
      <c r="L47" s="75"/>
      <c r="M47" s="75"/>
      <c r="N47" s="129">
        <v>19</v>
      </c>
      <c r="O47" s="130"/>
      <c r="P47" s="74">
        <v>6</v>
      </c>
      <c r="Q47" s="75"/>
      <c r="R47" s="75"/>
      <c r="S47" s="129">
        <v>1</v>
      </c>
      <c r="T47" s="130"/>
      <c r="U47" s="100" t="str">
        <f>VLOOKUP(N47,线规表,2,FALSE)</f>
        <v> AGW  </v>
      </c>
      <c r="V47" s="100"/>
      <c r="W47" s="100"/>
      <c r="X47" s="100"/>
      <c r="Y47" s="100"/>
      <c r="Z47" s="100">
        <f>VLOOKUP(N47,线规表,5,FALSE)</f>
        <v>0.64</v>
      </c>
      <c r="AA47" s="100"/>
      <c r="AB47" s="100"/>
      <c r="AC47" s="100"/>
      <c r="AD47" s="100"/>
      <c r="AE47" s="100">
        <f>AH18*O36</f>
        <v>0</v>
      </c>
      <c r="AF47" s="100"/>
      <c r="AG47" s="100"/>
      <c r="AH47" s="100"/>
      <c r="AI47" s="100"/>
      <c r="AJ47" s="74">
        <f>AE47/100*VLOOKUP(N47,线规表,8,FALSE)/P47*1000</f>
        <v>0</v>
      </c>
      <c r="AK47" s="75"/>
      <c r="AL47" s="75"/>
      <c r="AM47" s="75"/>
      <c r="AN47" s="96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</row>
    <row r="48" spans="3:60" ht="11.25" customHeight="1">
      <c r="C48" s="99"/>
      <c r="D48" s="99"/>
      <c r="E48" s="99"/>
      <c r="F48" s="99"/>
      <c r="G48" s="99"/>
      <c r="H48" s="99"/>
      <c r="I48" s="77"/>
      <c r="J48" s="78"/>
      <c r="K48" s="78"/>
      <c r="L48" s="78"/>
      <c r="M48" s="78"/>
      <c r="N48" s="129"/>
      <c r="O48" s="130"/>
      <c r="P48" s="77"/>
      <c r="Q48" s="78"/>
      <c r="R48" s="78"/>
      <c r="S48" s="129"/>
      <c r="T48" s="13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77"/>
      <c r="AK48" s="78"/>
      <c r="AL48" s="78"/>
      <c r="AM48" s="78"/>
      <c r="AN48" s="98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</row>
    <row r="49" spans="3:15" ht="6" customHeight="1">
      <c r="C49" s="93"/>
      <c r="D49" s="93"/>
      <c r="E49" s="93"/>
      <c r="F49" s="93"/>
      <c r="G49" s="93"/>
      <c r="H49" s="93"/>
      <c r="N49" s="125"/>
      <c r="O49" s="125"/>
    </row>
    <row r="50" spans="3:40" ht="11.25" customHeight="1">
      <c r="C50" s="99" t="s">
        <v>105</v>
      </c>
      <c r="D50" s="99"/>
      <c r="E50" s="99"/>
      <c r="F50" s="99"/>
      <c r="G50" s="99"/>
      <c r="H50" s="99"/>
      <c r="I50" s="100"/>
      <c r="J50" s="100"/>
      <c r="K50" s="100"/>
      <c r="L50" s="100"/>
      <c r="M50" s="100"/>
      <c r="N50" s="130"/>
      <c r="O50" s="13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</row>
    <row r="51" spans="3:40" ht="11.25" customHeight="1">
      <c r="C51" s="99"/>
      <c r="D51" s="99"/>
      <c r="E51" s="99"/>
      <c r="F51" s="99"/>
      <c r="G51" s="99"/>
      <c r="H51" s="99"/>
      <c r="I51" s="100"/>
      <c r="J51" s="100"/>
      <c r="K51" s="100"/>
      <c r="L51" s="100"/>
      <c r="M51" s="100"/>
      <c r="N51" s="130"/>
      <c r="O51" s="13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</row>
    <row r="52" spans="3:11" ht="11.25" customHeight="1">
      <c r="C52" s="100" t="s">
        <v>105</v>
      </c>
      <c r="D52" s="100"/>
      <c r="E52" s="100"/>
      <c r="F52" s="100"/>
      <c r="G52" s="100"/>
      <c r="H52" s="100"/>
      <c r="I52" s="100"/>
      <c r="J52" s="100"/>
      <c r="K52" s="100"/>
    </row>
    <row r="53" spans="3:11" ht="11.25" customHeight="1">
      <c r="C53" s="100"/>
      <c r="D53" s="100"/>
      <c r="E53" s="100"/>
      <c r="F53" s="100"/>
      <c r="G53" s="100"/>
      <c r="H53" s="100"/>
      <c r="I53" s="100"/>
      <c r="J53" s="100"/>
      <c r="K53" s="100"/>
    </row>
    <row r="54" spans="7:11" ht="11.25" customHeight="1">
      <c r="G54" s="101"/>
      <c r="H54" s="101"/>
      <c r="I54" s="101"/>
      <c r="J54" s="101"/>
      <c r="K54" s="101"/>
    </row>
    <row r="55" spans="3:11" ht="11.25" customHeight="1">
      <c r="C55" s="100"/>
      <c r="D55" s="100"/>
      <c r="E55" s="100"/>
      <c r="F55" s="100"/>
      <c r="G55" s="100"/>
      <c r="H55" s="100"/>
      <c r="I55" s="100"/>
      <c r="J55" s="100"/>
      <c r="K55" s="100"/>
    </row>
    <row r="56" spans="3:11" ht="11.25" customHeight="1">
      <c r="C56" s="100"/>
      <c r="D56" s="100"/>
      <c r="E56" s="100"/>
      <c r="F56" s="100"/>
      <c r="G56" s="100"/>
      <c r="H56" s="100"/>
      <c r="I56" s="100"/>
      <c r="J56" s="100"/>
      <c r="K56" s="100"/>
    </row>
    <row r="57" spans="3:11" ht="11.25" customHeight="1">
      <c r="C57" s="100" t="s">
        <v>105</v>
      </c>
      <c r="D57" s="100"/>
      <c r="E57" s="100"/>
      <c r="F57" s="100"/>
      <c r="G57" s="100"/>
      <c r="H57" s="100"/>
      <c r="I57" s="100"/>
      <c r="J57" s="100"/>
      <c r="K57" s="100"/>
    </row>
    <row r="58" spans="3:11" ht="11.25" customHeight="1">
      <c r="C58" s="100"/>
      <c r="D58" s="100"/>
      <c r="E58" s="100"/>
      <c r="F58" s="100"/>
      <c r="G58" s="100"/>
      <c r="H58" s="100"/>
      <c r="I58" s="100"/>
      <c r="J58" s="100"/>
      <c r="K58" s="100"/>
    </row>
  </sheetData>
  <sheetProtection/>
  <mergeCells count="248">
    <mergeCell ref="BZ1:CD1"/>
    <mergeCell ref="CE1:CH1"/>
    <mergeCell ref="CI1:CO1"/>
    <mergeCell ref="CP1:CV1"/>
    <mergeCell ref="E24:E27"/>
    <mergeCell ref="L34:L35"/>
    <mergeCell ref="N36:N37"/>
    <mergeCell ref="N38:N39"/>
    <mergeCell ref="R36:R37"/>
    <mergeCell ref="R38:R39"/>
    <mergeCell ref="AA11:AA14"/>
    <mergeCell ref="AB6:AB7"/>
    <mergeCell ref="AB8:AB9"/>
    <mergeCell ref="AB34:AB35"/>
    <mergeCell ref="AD36:AD37"/>
    <mergeCell ref="AD38:AD39"/>
    <mergeCell ref="AH36:AH37"/>
    <mergeCell ref="AH38:AH39"/>
    <mergeCell ref="AR6:AR7"/>
    <mergeCell ref="AR8:AR9"/>
    <mergeCell ref="AR11:AR14"/>
    <mergeCell ref="AR34:AR35"/>
    <mergeCell ref="AR36:AR37"/>
    <mergeCell ref="AR38:AR39"/>
    <mergeCell ref="BG6:BG7"/>
    <mergeCell ref="BG8:BG9"/>
    <mergeCell ref="BH34:BH35"/>
    <mergeCell ref="BH36:BH37"/>
    <mergeCell ref="BH38:BH39"/>
    <mergeCell ref="BK6:BK7"/>
    <mergeCell ref="BK8:BK9"/>
    <mergeCell ref="C55:G56"/>
    <mergeCell ref="H55:K56"/>
    <mergeCell ref="C57:G58"/>
    <mergeCell ref="H57:K58"/>
    <mergeCell ref="U45:Y46"/>
    <mergeCell ref="Z45:AD46"/>
    <mergeCell ref="AE45:AI46"/>
    <mergeCell ref="AJ45:AN46"/>
    <mergeCell ref="AO45:AS46"/>
    <mergeCell ref="AT45:AX46"/>
    <mergeCell ref="AY45:BC46"/>
    <mergeCell ref="BD45:BH46"/>
    <mergeCell ref="U47:Y48"/>
    <mergeCell ref="Z47:AD48"/>
    <mergeCell ref="AE47:AI48"/>
    <mergeCell ref="AJ47:AN48"/>
    <mergeCell ref="AO47:AS48"/>
    <mergeCell ref="AT47:AX48"/>
    <mergeCell ref="AY47:BC48"/>
    <mergeCell ref="BD47:BH48"/>
    <mergeCell ref="C52:G53"/>
    <mergeCell ref="H52:K53"/>
    <mergeCell ref="P42:R44"/>
    <mergeCell ref="S42:T44"/>
    <mergeCell ref="P45:R46"/>
    <mergeCell ref="S45:T46"/>
    <mergeCell ref="P50:T51"/>
    <mergeCell ref="U50:Y51"/>
    <mergeCell ref="Z50:AD51"/>
    <mergeCell ref="AE50:AI51"/>
    <mergeCell ref="AJ50:AN51"/>
    <mergeCell ref="N42:O44"/>
    <mergeCell ref="I47:M48"/>
    <mergeCell ref="N47:O48"/>
    <mergeCell ref="U42:Y44"/>
    <mergeCell ref="Z42:AD44"/>
    <mergeCell ref="AE42:AI44"/>
    <mergeCell ref="AJ42:AN44"/>
    <mergeCell ref="AO42:AS44"/>
    <mergeCell ref="AT42:AX44"/>
    <mergeCell ref="AY42:BC44"/>
    <mergeCell ref="BD42:BH44"/>
    <mergeCell ref="P47:R48"/>
    <mergeCell ref="S47:T48"/>
    <mergeCell ref="C45:H46"/>
    <mergeCell ref="I45:M46"/>
    <mergeCell ref="N45:O46"/>
    <mergeCell ref="C50:H51"/>
    <mergeCell ref="I50:M51"/>
    <mergeCell ref="N50:O51"/>
    <mergeCell ref="C47:H48"/>
    <mergeCell ref="X16:AB17"/>
    <mergeCell ref="AC16:AG17"/>
    <mergeCell ref="AH16:AL17"/>
    <mergeCell ref="AM16:AQ17"/>
    <mergeCell ref="AR16:AV17"/>
    <mergeCell ref="C42:H44"/>
    <mergeCell ref="I42:M44"/>
    <mergeCell ref="BU2:BY5"/>
    <mergeCell ref="BE6:BF7"/>
    <mergeCell ref="BS6:BT7"/>
    <mergeCell ref="BE8:BF9"/>
    <mergeCell ref="BS8:BT9"/>
    <mergeCell ref="Y6:AA7"/>
    <mergeCell ref="BL6:BN7"/>
    <mergeCell ref="Y8:AA9"/>
    <mergeCell ref="BL8:BN9"/>
    <mergeCell ref="BF13:BH14"/>
    <mergeCell ref="S11:X14"/>
    <mergeCell ref="BI11:BN14"/>
    <mergeCell ref="AC6:AE7"/>
    <mergeCell ref="AF6:AH7"/>
    <mergeCell ref="AO6:AQ7"/>
    <mergeCell ref="BU8:BY9"/>
    <mergeCell ref="BZ8:CD9"/>
    <mergeCell ref="BU6:BY7"/>
    <mergeCell ref="BZ6:CD7"/>
    <mergeCell ref="AF11:AH14"/>
    <mergeCell ref="AO11:AQ14"/>
    <mergeCell ref="BU12:BY13"/>
    <mergeCell ref="BZ12:CD13"/>
    <mergeCell ref="BU10:BY11"/>
    <mergeCell ref="BZ10:CD11"/>
    <mergeCell ref="CA2:CC3"/>
    <mergeCell ref="BZ4:CD5"/>
    <mergeCell ref="CI6:CO7"/>
    <mergeCell ref="CP6:CV7"/>
    <mergeCell ref="CF4:CG5"/>
    <mergeCell ref="CI8:CO9"/>
    <mergeCell ref="CP8:CV9"/>
    <mergeCell ref="CI2:CO5"/>
    <mergeCell ref="CP2:CV5"/>
    <mergeCell ref="CE10:CH11"/>
    <mergeCell ref="CE8:CH9"/>
    <mergeCell ref="CE6:CH7"/>
    <mergeCell ref="CI12:CO13"/>
    <mergeCell ref="CP12:CV13"/>
    <mergeCell ref="CE2:CH3"/>
    <mergeCell ref="CE12:CH13"/>
    <mergeCell ref="AS6:AU7"/>
    <mergeCell ref="AV6:AX7"/>
    <mergeCell ref="BH6:BJ7"/>
    <mergeCell ref="F26:H27"/>
    <mergeCell ref="F24:H25"/>
    <mergeCell ref="AB11:AE14"/>
    <mergeCell ref="C6:H9"/>
    <mergeCell ref="Y11:Z14"/>
    <mergeCell ref="AW11:AX14"/>
    <mergeCell ref="AC8:AE9"/>
    <mergeCell ref="AF8:AH9"/>
    <mergeCell ref="AO8:AQ9"/>
    <mergeCell ref="M34:O35"/>
    <mergeCell ref="P34:R35"/>
    <mergeCell ref="Y34:AA35"/>
    <mergeCell ref="BI34:BK35"/>
    <mergeCell ref="BL34:BN35"/>
    <mergeCell ref="S22:BN25"/>
    <mergeCell ref="S26:BN27"/>
    <mergeCell ref="S28:BN31"/>
    <mergeCell ref="AC34:AE35"/>
    <mergeCell ref="AF34:AH35"/>
    <mergeCell ref="AO34:AQ35"/>
    <mergeCell ref="I34:K35"/>
    <mergeCell ref="AS34:AU35"/>
    <mergeCell ref="AV34:AX35"/>
    <mergeCell ref="BE34:BG35"/>
    <mergeCell ref="I28:L31"/>
    <mergeCell ref="M30:R31"/>
    <mergeCell ref="BD18:BI19"/>
    <mergeCell ref="C20:I21"/>
    <mergeCell ref="S20:BC21"/>
    <mergeCell ref="X18:AB19"/>
    <mergeCell ref="AC18:AG19"/>
    <mergeCell ref="AH18:AL19"/>
    <mergeCell ref="AM18:AQ19"/>
    <mergeCell ref="AR18:AV19"/>
    <mergeCell ref="AW18:BC19"/>
    <mergeCell ref="AO36:AQ37"/>
    <mergeCell ref="BD11:BE14"/>
    <mergeCell ref="AY11:BC14"/>
    <mergeCell ref="S34:X35"/>
    <mergeCell ref="AI34:AN35"/>
    <mergeCell ref="AI11:AN14"/>
    <mergeCell ref="AS11:AV14"/>
    <mergeCell ref="C16:H17"/>
    <mergeCell ref="A14:B15"/>
    <mergeCell ref="AS8:AU9"/>
    <mergeCell ref="AV8:AX9"/>
    <mergeCell ref="BH8:BJ9"/>
    <mergeCell ref="C34:H35"/>
    <mergeCell ref="AY34:BD35"/>
    <mergeCell ref="S6:X7"/>
    <mergeCell ref="C14:R15"/>
    <mergeCell ref="A4:B5"/>
    <mergeCell ref="S8:X9"/>
    <mergeCell ref="AY6:BD7"/>
    <mergeCell ref="AY8:BD9"/>
    <mergeCell ref="C4:J5"/>
    <mergeCell ref="I6:M7"/>
    <mergeCell ref="N6:R7"/>
    <mergeCell ref="AI8:AN9"/>
    <mergeCell ref="AI6:AN7"/>
    <mergeCell ref="A1:BN3"/>
    <mergeCell ref="I8:M9"/>
    <mergeCell ref="N8:R9"/>
    <mergeCell ref="L38:M39"/>
    <mergeCell ref="AB38:AC39"/>
    <mergeCell ref="AE38:AG39"/>
    <mergeCell ref="BI38:BK39"/>
    <mergeCell ref="BL38:BN39"/>
    <mergeCell ref="O38:Q39"/>
    <mergeCell ref="AS38:AU39"/>
    <mergeCell ref="AV38:AX39"/>
    <mergeCell ref="BE38:BG39"/>
    <mergeCell ref="AI38:AN39"/>
    <mergeCell ref="S38:AA39"/>
    <mergeCell ref="A32:B33"/>
    <mergeCell ref="C32:BN33"/>
    <mergeCell ref="O36:Q37"/>
    <mergeCell ref="AS36:AU37"/>
    <mergeCell ref="AV36:AX37"/>
    <mergeCell ref="BE36:BG37"/>
    <mergeCell ref="AE36:AG37"/>
    <mergeCell ref="BI36:BK37"/>
    <mergeCell ref="BL36:BN37"/>
    <mergeCell ref="BS12:BT13"/>
    <mergeCell ref="AO38:AQ39"/>
    <mergeCell ref="AI36:AN37"/>
    <mergeCell ref="BF11:BH12"/>
    <mergeCell ref="CI10:CO11"/>
    <mergeCell ref="CP10:CV11"/>
    <mergeCell ref="BS10:BT11"/>
    <mergeCell ref="AY36:BD37"/>
    <mergeCell ref="A40:B41"/>
    <mergeCell ref="C40:BN41"/>
    <mergeCell ref="C38:K39"/>
    <mergeCell ref="A38:B39"/>
    <mergeCell ref="AY38:BD39"/>
    <mergeCell ref="S36:AA37"/>
    <mergeCell ref="L36:M37"/>
    <mergeCell ref="AB36:AC37"/>
    <mergeCell ref="C36:K37"/>
    <mergeCell ref="A11:B13"/>
    <mergeCell ref="C11:R13"/>
    <mergeCell ref="M28:O29"/>
    <mergeCell ref="P28:R29"/>
    <mergeCell ref="I24:R27"/>
    <mergeCell ref="J20:R21"/>
    <mergeCell ref="C18:I19"/>
    <mergeCell ref="J18:R19"/>
    <mergeCell ref="K16:U17"/>
    <mergeCell ref="C28:H31"/>
    <mergeCell ref="BJ16:BN17"/>
    <mergeCell ref="BJ18:BN19"/>
    <mergeCell ref="BD16:BI17"/>
    <mergeCell ref="V16:W17"/>
    <mergeCell ref="AW16:BC17"/>
  </mergeCells>
  <hyperlinks>
    <hyperlink ref="AY6:BD7" r:id="rId1" display="最大磁密："/>
  </hyperlinks>
  <printOptions horizontalCentered="1"/>
  <pageMargins left="0.2" right="0.2" top="0.2" bottom="0.2" header="0.12" footer="0.04"/>
  <pageSetup orientation="landscape" paperSize="9"/>
  <drawing r:id="rId14"/>
  <legacyDrawing r:id="rId13"/>
  <oleObjects>
    <oleObject progId="Equation.3" shapeId="78" r:id="rId3"/>
    <oleObject progId="Equation.3" shapeId="79" r:id="rId4"/>
    <oleObject progId="Equation.3" shapeId="87" r:id="rId5"/>
    <oleObject progId="Equation.3" shapeId="95" r:id="rId6"/>
    <oleObject progId="Equation.3" shapeId="102" r:id="rId7"/>
    <oleObject progId="Equation.3" shapeId="142" r:id="rId8"/>
    <oleObject progId="Equation.3" shapeId="144" r:id="rId9"/>
    <oleObject progId="Equation.3" shapeId="145" r:id="rId10"/>
    <oleObject progId="Equation.3" shapeId="150" r:id="rId11"/>
    <oleObject progId="Equation.3" shapeId="152" r:id="rId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10" sqref="C10"/>
    </sheetView>
  </sheetViews>
  <sheetFormatPr defaultColWidth="9.00390625" defaultRowHeight="18" customHeight="1"/>
  <cols>
    <col min="1" max="1" width="13.875" style="60" customWidth="1"/>
    <col min="2" max="2" width="10.625" style="61" customWidth="1"/>
    <col min="3" max="3" width="14.00390625" style="61" customWidth="1"/>
    <col min="4" max="4" width="12.875" style="61" customWidth="1"/>
    <col min="5" max="5" width="10.625" style="61" customWidth="1"/>
    <col min="6" max="6" width="18.125" style="61" customWidth="1"/>
    <col min="7" max="7" width="13.625" style="60" customWidth="1"/>
    <col min="8" max="16384" width="9.00390625" style="60" customWidth="1"/>
  </cols>
  <sheetData>
    <row r="1" spans="1:7" ht="33" customHeight="1">
      <c r="A1" s="62" t="s">
        <v>106</v>
      </c>
      <c r="B1" s="62"/>
      <c r="C1" s="62"/>
      <c r="D1" s="62"/>
      <c r="E1" s="62"/>
      <c r="F1" s="62"/>
      <c r="G1" s="62"/>
    </row>
    <row r="2" spans="1:7" ht="18" customHeight="1">
      <c r="A2" s="63" t="s">
        <v>107</v>
      </c>
      <c r="B2" s="64" t="s">
        <v>108</v>
      </c>
      <c r="C2" s="64"/>
      <c r="D2" s="64"/>
      <c r="E2" s="64"/>
      <c r="F2" s="64"/>
      <c r="G2" s="65" t="s">
        <v>109</v>
      </c>
    </row>
    <row r="3" spans="1:7" ht="18" customHeight="1">
      <c r="A3" s="63" t="s">
        <v>110</v>
      </c>
      <c r="B3" s="66" t="s">
        <v>111</v>
      </c>
      <c r="C3" s="63">
        <v>100</v>
      </c>
      <c r="D3" s="63" t="s">
        <v>112</v>
      </c>
      <c r="E3" s="63"/>
      <c r="F3" s="63"/>
      <c r="G3" s="65"/>
    </row>
    <row r="4" spans="1:7" ht="18" customHeight="1">
      <c r="A4" s="63" t="s">
        <v>113</v>
      </c>
      <c r="B4" s="66" t="s">
        <v>88</v>
      </c>
      <c r="C4" s="63">
        <v>5</v>
      </c>
      <c r="D4" s="63" t="s">
        <v>112</v>
      </c>
      <c r="E4" s="63"/>
      <c r="F4" s="63"/>
      <c r="G4" s="65"/>
    </row>
    <row r="5" spans="1:8" ht="18" customHeight="1">
      <c r="A5" s="63" t="s">
        <v>114</v>
      </c>
      <c r="B5" s="66" t="s">
        <v>115</v>
      </c>
      <c r="C5" s="63">
        <v>35</v>
      </c>
      <c r="D5" s="67" t="s">
        <v>116</v>
      </c>
      <c r="E5" s="66" t="s">
        <v>117</v>
      </c>
      <c r="F5" s="66"/>
      <c r="G5" s="64"/>
      <c r="H5" s="60" t="s">
        <v>118</v>
      </c>
    </row>
    <row r="6" spans="1:7" ht="18" customHeight="1">
      <c r="A6" s="63" t="s">
        <v>119</v>
      </c>
      <c r="B6" s="66" t="s">
        <v>120</v>
      </c>
      <c r="C6" s="63">
        <f>0.2*C3*(LN(2*C3/(C5/1000000+C4))+0.2235*(C4+C5/1000000)/C3+0.5)</f>
        <v>84.00095064726872</v>
      </c>
      <c r="D6" s="63" t="s">
        <v>121</v>
      </c>
      <c r="E6" s="63"/>
      <c r="F6" s="63"/>
      <c r="G6" s="65"/>
    </row>
  </sheetData>
  <sheetProtection/>
  <mergeCells count="3">
    <mergeCell ref="A1:G1"/>
    <mergeCell ref="B2:F2"/>
    <mergeCell ref="E5:G5"/>
  </mergeCells>
  <printOptions/>
  <pageMargins left="0.2" right="0.2" top="0.2" bottom="0.24" header="0.08" footer="0.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1">
      <pane ySplit="3" topLeftCell="A67" activePane="bottomLeft" state="frozen"/>
      <selection pane="bottomLeft" activeCell="M3" sqref="M3"/>
    </sheetView>
  </sheetViews>
  <sheetFormatPr defaultColWidth="9.00390625" defaultRowHeight="18" customHeight="1"/>
  <cols>
    <col min="1" max="1" width="5.375" style="50" customWidth="1"/>
    <col min="2" max="2" width="10.375" style="50" customWidth="1"/>
    <col min="3" max="3" width="16.625" style="50" customWidth="1"/>
    <col min="4" max="9" width="12.75390625" style="50" customWidth="1"/>
    <col min="10" max="11" width="13.00390625" style="50" customWidth="1"/>
    <col min="12" max="16384" width="9.00390625" style="50" customWidth="1"/>
  </cols>
  <sheetData>
    <row r="1" spans="1:11" s="49" customFormat="1" ht="36" customHeight="1">
      <c r="A1" s="51" t="s">
        <v>122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49" customFormat="1" ht="18" customHeight="1">
      <c r="A2" s="52" t="s">
        <v>123</v>
      </c>
      <c r="B2" s="52" t="s">
        <v>124</v>
      </c>
      <c r="C2" s="53" t="s">
        <v>125</v>
      </c>
      <c r="D2" s="53" t="s">
        <v>126</v>
      </c>
      <c r="E2" s="53"/>
      <c r="F2" s="53"/>
      <c r="G2" s="53"/>
      <c r="H2" s="53"/>
      <c r="I2" s="53"/>
      <c r="J2" s="53"/>
      <c r="K2" s="53"/>
    </row>
    <row r="3" spans="1:11" s="49" customFormat="1" ht="37.5" customHeight="1">
      <c r="A3" s="52"/>
      <c r="B3" s="52"/>
      <c r="C3" s="53"/>
      <c r="D3" s="54" t="s">
        <v>127</v>
      </c>
      <c r="E3" s="54" t="s">
        <v>128</v>
      </c>
      <c r="F3" s="54" t="s">
        <v>129</v>
      </c>
      <c r="G3" s="54" t="s">
        <v>130</v>
      </c>
      <c r="H3" s="54" t="s">
        <v>131</v>
      </c>
      <c r="I3" s="54" t="s">
        <v>132</v>
      </c>
      <c r="J3" s="58" t="s">
        <v>133</v>
      </c>
      <c r="K3" s="54" t="s">
        <v>134</v>
      </c>
    </row>
    <row r="4" spans="1:11" s="49" customFormat="1" ht="18" customHeight="1">
      <c r="A4" s="52">
        <v>1</v>
      </c>
      <c r="B4" s="52" t="s">
        <v>135</v>
      </c>
      <c r="C4" s="55" t="s">
        <v>136</v>
      </c>
      <c r="D4" s="56">
        <v>1.19</v>
      </c>
      <c r="E4" s="56">
        <v>0.888</v>
      </c>
      <c r="F4" s="53">
        <v>7.23</v>
      </c>
      <c r="G4" s="56">
        <f>D4*E4</f>
        <v>1.0567199999999999</v>
      </c>
      <c r="H4" s="57">
        <v>67.5</v>
      </c>
      <c r="I4" s="57">
        <v>8030</v>
      </c>
      <c r="J4" s="57">
        <f>H4/D4/100</f>
        <v>0.5672268907563026</v>
      </c>
      <c r="K4" s="59">
        <v>41</v>
      </c>
    </row>
    <row r="5" spans="1:11" s="49" customFormat="1" ht="18" customHeight="1">
      <c r="A5" s="52">
        <v>2</v>
      </c>
      <c r="B5" s="52" t="s">
        <v>137</v>
      </c>
      <c r="C5" s="52" t="s">
        <v>138</v>
      </c>
      <c r="D5" s="52"/>
      <c r="E5" s="52"/>
      <c r="F5" s="53"/>
      <c r="G5" s="52"/>
      <c r="H5" s="52"/>
      <c r="I5" s="52"/>
      <c r="J5" s="57"/>
      <c r="K5" s="52"/>
    </row>
    <row r="6" spans="1:11" s="49" customFormat="1" ht="18" customHeight="1">
      <c r="A6" s="52">
        <v>3</v>
      </c>
      <c r="B6" s="52" t="s">
        <v>137</v>
      </c>
      <c r="C6" s="52" t="s">
        <v>139</v>
      </c>
      <c r="D6" s="52"/>
      <c r="E6" s="52"/>
      <c r="F6" s="53"/>
      <c r="G6" s="52"/>
      <c r="H6" s="52"/>
      <c r="I6" s="52"/>
      <c r="J6" s="57"/>
      <c r="K6" s="52"/>
    </row>
    <row r="7" spans="1:11" s="49" customFormat="1" ht="18" customHeight="1">
      <c r="A7" s="52">
        <v>4</v>
      </c>
      <c r="B7" s="52" t="s">
        <v>137</v>
      </c>
      <c r="C7" s="52" t="s">
        <v>140</v>
      </c>
      <c r="D7" s="52">
        <v>3.28</v>
      </c>
      <c r="E7" s="52">
        <v>3.13</v>
      </c>
      <c r="F7" s="53">
        <v>10.4</v>
      </c>
      <c r="G7" s="52">
        <f>D7*E7</f>
        <v>10.266399999999999</v>
      </c>
      <c r="H7" s="52">
        <v>11.3</v>
      </c>
      <c r="I7" s="52">
        <v>37200</v>
      </c>
      <c r="J7" s="57">
        <f>H7/D7/100</f>
        <v>0.034451219512195125</v>
      </c>
      <c r="K7" s="52">
        <v>195</v>
      </c>
    </row>
    <row r="8" spans="1:11" s="49" customFormat="1" ht="18" customHeight="1">
      <c r="A8" s="52">
        <v>5</v>
      </c>
      <c r="B8" s="52" t="s">
        <v>141</v>
      </c>
      <c r="C8" s="55" t="s">
        <v>142</v>
      </c>
      <c r="D8" s="56">
        <v>3.54</v>
      </c>
      <c r="E8" s="56">
        <v>2.8</v>
      </c>
      <c r="F8" s="53"/>
      <c r="G8" s="56">
        <f>D8*E8</f>
        <v>9.911999999999999</v>
      </c>
      <c r="H8" s="57">
        <v>120</v>
      </c>
      <c r="I8" s="57">
        <v>42500</v>
      </c>
      <c r="J8" s="57">
        <f>H8/D8/100</f>
        <v>0.33898305084745767</v>
      </c>
      <c r="K8" s="59">
        <v>216</v>
      </c>
    </row>
    <row r="9" spans="1:11" s="49" customFormat="1" ht="18" customHeight="1">
      <c r="A9" s="52">
        <v>6</v>
      </c>
      <c r="B9" s="52" t="s">
        <v>135</v>
      </c>
      <c r="C9" s="55" t="s">
        <v>143</v>
      </c>
      <c r="D9" s="56">
        <v>3.54</v>
      </c>
      <c r="E9" s="56">
        <v>2.94</v>
      </c>
      <c r="F9" s="53">
        <v>11.3</v>
      </c>
      <c r="G9" s="56">
        <f>D9*E9</f>
        <v>10.4076</v>
      </c>
      <c r="H9" s="57">
        <v>123</v>
      </c>
      <c r="I9" s="57">
        <v>43700</v>
      </c>
      <c r="J9" s="57">
        <f>H9/D9/100</f>
        <v>0.3474576271186441</v>
      </c>
      <c r="K9" s="59">
        <v>234</v>
      </c>
    </row>
    <row r="10" spans="1:11" s="49" customFormat="1" ht="18" customHeight="1">
      <c r="A10" s="52">
        <v>7</v>
      </c>
      <c r="B10" s="52" t="s">
        <v>135</v>
      </c>
      <c r="C10" s="55" t="s">
        <v>144</v>
      </c>
      <c r="D10" s="52">
        <f>D9*2</f>
        <v>7.08</v>
      </c>
      <c r="E10" s="52">
        <f>E9</f>
        <v>2.94</v>
      </c>
      <c r="F10" s="53">
        <f>F9+2.07+2.07</f>
        <v>15.440000000000001</v>
      </c>
      <c r="G10" s="52">
        <f>D10*E10</f>
        <v>20.8152</v>
      </c>
      <c r="H10" s="52">
        <f>H9</f>
        <v>123</v>
      </c>
      <c r="I10" s="52">
        <f>I9*2</f>
        <v>87400</v>
      </c>
      <c r="J10" s="57">
        <f>H10/D10/100</f>
        <v>0.17372881355932204</v>
      </c>
      <c r="K10" s="52">
        <f>K9*2</f>
        <v>468</v>
      </c>
    </row>
    <row r="11" spans="1:11" s="49" customFormat="1" ht="18" customHeight="1">
      <c r="A11" s="52">
        <v>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49" customFormat="1" ht="18" customHeight="1">
      <c r="A12" s="52">
        <v>9</v>
      </c>
      <c r="B12" s="52"/>
      <c r="C12" s="52"/>
      <c r="D12" s="52"/>
      <c r="E12" s="52"/>
      <c r="F12" s="53"/>
      <c r="G12" s="52"/>
      <c r="H12" s="52"/>
      <c r="I12" s="52"/>
      <c r="J12" s="52"/>
      <c r="K12" s="52"/>
    </row>
    <row r="13" spans="1:11" s="49" customFormat="1" ht="18" customHeight="1">
      <c r="A13" s="52">
        <v>10</v>
      </c>
      <c r="B13" s="52"/>
      <c r="C13" s="52"/>
      <c r="D13" s="52"/>
      <c r="E13" s="52"/>
      <c r="F13" s="53"/>
      <c r="G13" s="52"/>
      <c r="H13" s="52"/>
      <c r="I13" s="52"/>
      <c r="J13" s="52"/>
      <c r="K13" s="52"/>
    </row>
    <row r="14" spans="1:11" s="49" customFormat="1" ht="18" customHeight="1">
      <c r="A14" s="52">
        <v>11</v>
      </c>
      <c r="B14" s="52" t="s">
        <v>135</v>
      </c>
      <c r="C14" s="55" t="s">
        <v>145</v>
      </c>
      <c r="D14" s="56">
        <v>0.07</v>
      </c>
      <c r="E14" s="56">
        <v>0.053</v>
      </c>
      <c r="F14" s="53">
        <v>1.99</v>
      </c>
      <c r="G14" s="56">
        <f aca="true" t="shared" si="0" ref="G14:G45">D14*E14</f>
        <v>0.00371</v>
      </c>
      <c r="H14" s="57">
        <v>19.2</v>
      </c>
      <c r="I14" s="57">
        <v>134</v>
      </c>
      <c r="J14" s="57">
        <f aca="true" t="shared" si="1" ref="J14:J45">H14/D14/100</f>
        <v>2.742857142857143</v>
      </c>
      <c r="K14" s="59">
        <v>0.7</v>
      </c>
    </row>
    <row r="15" spans="1:11" s="49" customFormat="1" ht="18" customHeight="1">
      <c r="A15" s="52">
        <v>12</v>
      </c>
      <c r="B15" s="52" t="s">
        <v>135</v>
      </c>
      <c r="C15" s="55" t="s">
        <v>146</v>
      </c>
      <c r="D15" s="56">
        <v>0.13</v>
      </c>
      <c r="E15" s="56">
        <v>0.086</v>
      </c>
      <c r="F15" s="53">
        <v>2.72</v>
      </c>
      <c r="G15" s="56">
        <f t="shared" si="0"/>
        <v>0.011179999999999999</v>
      </c>
      <c r="H15" s="57">
        <v>29.6</v>
      </c>
      <c r="I15" s="57">
        <v>385</v>
      </c>
      <c r="J15" s="57">
        <f t="shared" si="1"/>
        <v>2.2769230769230773</v>
      </c>
      <c r="K15" s="59">
        <v>2</v>
      </c>
    </row>
    <row r="16" spans="1:11" s="49" customFormat="1" ht="18" customHeight="1">
      <c r="A16" s="52">
        <v>13</v>
      </c>
      <c r="B16" s="52" t="s">
        <v>135</v>
      </c>
      <c r="C16" s="55" t="s">
        <v>147</v>
      </c>
      <c r="D16" s="56">
        <v>0.14400000000000002</v>
      </c>
      <c r="E16" s="56">
        <v>0.086</v>
      </c>
      <c r="F16" s="53">
        <v>2.72</v>
      </c>
      <c r="G16" s="56">
        <f t="shared" si="0"/>
        <v>0.012384000000000001</v>
      </c>
      <c r="H16" s="57">
        <v>21.3</v>
      </c>
      <c r="I16" s="57">
        <v>308</v>
      </c>
      <c r="J16" s="57">
        <f t="shared" si="1"/>
        <v>1.4791666666666665</v>
      </c>
      <c r="K16" s="59">
        <v>1.9</v>
      </c>
    </row>
    <row r="17" spans="1:11" s="49" customFormat="1" ht="18" customHeight="1">
      <c r="A17" s="52">
        <v>14</v>
      </c>
      <c r="B17" s="52" t="s">
        <v>135</v>
      </c>
      <c r="C17" s="55" t="s">
        <v>148</v>
      </c>
      <c r="D17" s="56">
        <v>0.121</v>
      </c>
      <c r="E17" s="56">
        <v>0.23800000000000002</v>
      </c>
      <c r="F17" s="53"/>
      <c r="G17" s="56">
        <f t="shared" si="0"/>
        <v>0.028798</v>
      </c>
      <c r="H17" s="57">
        <v>26.1</v>
      </c>
      <c r="I17" s="57">
        <v>315</v>
      </c>
      <c r="J17" s="57">
        <f t="shared" si="1"/>
        <v>2.15702479338843</v>
      </c>
      <c r="K17" s="59">
        <v>1.5</v>
      </c>
    </row>
    <row r="18" spans="1:11" s="49" customFormat="1" ht="18" customHeight="1">
      <c r="A18" s="52">
        <v>15</v>
      </c>
      <c r="B18" s="52" t="s">
        <v>135</v>
      </c>
      <c r="C18" s="55" t="s">
        <v>149</v>
      </c>
      <c r="D18" s="56">
        <v>0.171</v>
      </c>
      <c r="E18" s="56">
        <v>0.222</v>
      </c>
      <c r="F18" s="53">
        <v>3.13</v>
      </c>
      <c r="G18" s="56">
        <f t="shared" si="0"/>
        <v>0.037962</v>
      </c>
      <c r="H18" s="57">
        <v>30.2</v>
      </c>
      <c r="I18" s="57">
        <v>517</v>
      </c>
      <c r="J18" s="57">
        <f t="shared" si="1"/>
        <v>1.766081871345029</v>
      </c>
      <c r="K18" s="59">
        <v>2.7</v>
      </c>
    </row>
    <row r="19" spans="1:11" s="49" customFormat="1" ht="18" customHeight="1">
      <c r="A19" s="52">
        <v>16</v>
      </c>
      <c r="B19" s="52" t="s">
        <v>135</v>
      </c>
      <c r="C19" s="55" t="s">
        <v>150</v>
      </c>
      <c r="D19" s="56">
        <v>0.201</v>
      </c>
      <c r="E19" s="56">
        <v>0.23199999999999998</v>
      </c>
      <c r="F19" s="53">
        <v>3.3</v>
      </c>
      <c r="G19" s="56">
        <f t="shared" si="0"/>
        <v>0.046632</v>
      </c>
      <c r="H19" s="57">
        <v>37.6</v>
      </c>
      <c r="I19" s="57">
        <v>754</v>
      </c>
      <c r="J19" s="57">
        <f t="shared" si="1"/>
        <v>1.8706467661691542</v>
      </c>
      <c r="K19" s="59">
        <v>3.9</v>
      </c>
    </row>
    <row r="20" spans="1:11" s="49" customFormat="1" ht="18" customHeight="1">
      <c r="A20" s="52">
        <v>17</v>
      </c>
      <c r="B20" s="52" t="s">
        <v>135</v>
      </c>
      <c r="C20" s="55" t="s">
        <v>151</v>
      </c>
      <c r="D20" s="56">
        <v>0.217</v>
      </c>
      <c r="E20" s="56">
        <v>0.267</v>
      </c>
      <c r="F20" s="53">
        <v>3.31</v>
      </c>
      <c r="G20" s="56">
        <f t="shared" si="0"/>
        <v>0.057939000000000004</v>
      </c>
      <c r="H20" s="57">
        <v>36.6</v>
      </c>
      <c r="I20" s="57">
        <v>795</v>
      </c>
      <c r="J20" s="57">
        <f t="shared" si="1"/>
        <v>1.6866359447004609</v>
      </c>
      <c r="K20" s="59">
        <v>4.1</v>
      </c>
    </row>
    <row r="21" spans="1:11" s="49" customFormat="1" ht="18" customHeight="1">
      <c r="A21" s="52">
        <v>18</v>
      </c>
      <c r="B21" s="52" t="s">
        <v>135</v>
      </c>
      <c r="C21" s="55" t="s">
        <v>152</v>
      </c>
      <c r="D21" s="56">
        <v>0.19</v>
      </c>
      <c r="E21" s="56">
        <v>0.331</v>
      </c>
      <c r="F21" s="53">
        <v>3.71</v>
      </c>
      <c r="G21" s="56">
        <f t="shared" si="0"/>
        <v>0.06289</v>
      </c>
      <c r="H21" s="57">
        <v>34.5</v>
      </c>
      <c r="I21" s="57">
        <v>656</v>
      </c>
      <c r="J21" s="57">
        <f t="shared" si="1"/>
        <v>1.8157894736842104</v>
      </c>
      <c r="K21" s="59">
        <v>3.3</v>
      </c>
    </row>
    <row r="22" spans="1:11" s="49" customFormat="1" ht="18" customHeight="1">
      <c r="A22" s="52">
        <v>19</v>
      </c>
      <c r="B22" s="52" t="s">
        <v>135</v>
      </c>
      <c r="C22" s="55" t="s">
        <v>153</v>
      </c>
      <c r="D22" s="56">
        <v>0.198</v>
      </c>
      <c r="E22" s="56">
        <v>0.331</v>
      </c>
      <c r="F22" s="53">
        <v>3.71</v>
      </c>
      <c r="G22" s="56">
        <f t="shared" si="0"/>
        <v>0.06553800000000001</v>
      </c>
      <c r="H22" s="57">
        <v>34.6</v>
      </c>
      <c r="I22" s="57">
        <v>685</v>
      </c>
      <c r="J22" s="57">
        <f t="shared" si="1"/>
        <v>1.7474747474747474</v>
      </c>
      <c r="K22" s="59">
        <v>3.3</v>
      </c>
    </row>
    <row r="23" spans="1:11" s="49" customFormat="1" ht="18" customHeight="1">
      <c r="A23" s="52">
        <v>20</v>
      </c>
      <c r="B23" s="52" t="s">
        <v>135</v>
      </c>
      <c r="C23" s="55" t="s">
        <v>154</v>
      </c>
      <c r="D23" s="56">
        <v>0.22399999999999998</v>
      </c>
      <c r="E23" s="56">
        <v>0.331</v>
      </c>
      <c r="F23" s="53">
        <v>3.91</v>
      </c>
      <c r="G23" s="56">
        <f t="shared" si="0"/>
        <v>0.074144</v>
      </c>
      <c r="H23" s="57">
        <v>39.1</v>
      </c>
      <c r="I23" s="57">
        <v>876</v>
      </c>
      <c r="J23" s="57">
        <f t="shared" si="1"/>
        <v>1.7455357142857144</v>
      </c>
      <c r="K23" s="59">
        <v>4.8</v>
      </c>
    </row>
    <row r="24" spans="1:11" s="49" customFormat="1" ht="18" customHeight="1">
      <c r="A24" s="52">
        <v>21</v>
      </c>
      <c r="B24" s="52" t="s">
        <v>135</v>
      </c>
      <c r="C24" s="55" t="s">
        <v>155</v>
      </c>
      <c r="D24" s="56">
        <v>0.23</v>
      </c>
      <c r="E24" s="56">
        <v>0.364</v>
      </c>
      <c r="F24" s="53">
        <v>3.68</v>
      </c>
      <c r="G24" s="56">
        <f t="shared" si="0"/>
        <v>0.08372</v>
      </c>
      <c r="H24" s="57">
        <v>39.4</v>
      </c>
      <c r="I24" s="57">
        <v>906</v>
      </c>
      <c r="J24" s="57">
        <f t="shared" si="1"/>
        <v>1.7130434782608694</v>
      </c>
      <c r="K24" s="59">
        <v>4.8</v>
      </c>
    </row>
    <row r="25" spans="1:11" s="49" customFormat="1" ht="18" customHeight="1">
      <c r="A25" s="52">
        <v>22</v>
      </c>
      <c r="B25" s="52" t="s">
        <v>135</v>
      </c>
      <c r="C25" s="55" t="s">
        <v>156</v>
      </c>
      <c r="D25" s="56">
        <v>0.42</v>
      </c>
      <c r="E25" s="56">
        <v>0.2</v>
      </c>
      <c r="F25" s="53">
        <v>3.86</v>
      </c>
      <c r="G25" s="56">
        <f t="shared" si="0"/>
        <v>0.084</v>
      </c>
      <c r="H25" s="57">
        <v>39.3</v>
      </c>
      <c r="I25" s="57">
        <v>1650</v>
      </c>
      <c r="J25" s="57">
        <f t="shared" si="1"/>
        <v>0.9357142857142857</v>
      </c>
      <c r="K25" s="59">
        <v>9.8</v>
      </c>
    </row>
    <row r="26" spans="1:11" s="49" customFormat="1" ht="18" customHeight="1">
      <c r="A26" s="52">
        <v>23</v>
      </c>
      <c r="B26" s="52" t="s">
        <v>135</v>
      </c>
      <c r="C26" s="55" t="s">
        <v>157</v>
      </c>
      <c r="D26" s="56">
        <v>0.24</v>
      </c>
      <c r="E26" s="56">
        <v>0.364</v>
      </c>
      <c r="F26" s="53">
        <v>3.68</v>
      </c>
      <c r="G26" s="56">
        <f t="shared" si="0"/>
        <v>0.08736</v>
      </c>
      <c r="H26" s="57">
        <v>39.6</v>
      </c>
      <c r="I26" s="57">
        <v>950</v>
      </c>
      <c r="J26" s="57">
        <f t="shared" si="1"/>
        <v>1.65</v>
      </c>
      <c r="K26" s="59">
        <v>5.1</v>
      </c>
    </row>
    <row r="27" spans="1:11" s="49" customFormat="1" ht="18" customHeight="1">
      <c r="A27" s="52">
        <v>24</v>
      </c>
      <c r="B27" s="52" t="s">
        <v>135</v>
      </c>
      <c r="C27" s="55" t="s">
        <v>158</v>
      </c>
      <c r="D27" s="56">
        <v>0.37</v>
      </c>
      <c r="E27" s="56">
        <v>0.315</v>
      </c>
      <c r="F27" s="53">
        <v>4.28</v>
      </c>
      <c r="G27" s="56">
        <f t="shared" si="0"/>
        <v>0.11655</v>
      </c>
      <c r="H27" s="57">
        <v>41.8</v>
      </c>
      <c r="I27" s="57">
        <v>1550</v>
      </c>
      <c r="J27" s="57">
        <f t="shared" si="1"/>
        <v>1.1297297297297297</v>
      </c>
      <c r="K27" s="59">
        <v>8.5</v>
      </c>
    </row>
    <row r="28" spans="1:11" s="49" customFormat="1" ht="18" customHeight="1">
      <c r="A28" s="52">
        <v>25</v>
      </c>
      <c r="B28" s="52" t="s">
        <v>135</v>
      </c>
      <c r="C28" s="55" t="s">
        <v>159</v>
      </c>
      <c r="D28" s="56">
        <v>0.41</v>
      </c>
      <c r="E28" s="56">
        <v>0.315</v>
      </c>
      <c r="F28" s="53">
        <v>4.28</v>
      </c>
      <c r="G28" s="56">
        <f t="shared" si="0"/>
        <v>0.12915</v>
      </c>
      <c r="H28" s="57">
        <v>39.6</v>
      </c>
      <c r="I28" s="57">
        <v>1620</v>
      </c>
      <c r="J28" s="57">
        <f t="shared" si="1"/>
        <v>0.9658536585365854</v>
      </c>
      <c r="K28" s="59">
        <v>8.8</v>
      </c>
    </row>
    <row r="29" spans="1:11" s="49" customFormat="1" ht="18" customHeight="1">
      <c r="A29" s="52">
        <v>26</v>
      </c>
      <c r="B29" s="52" t="s">
        <v>135</v>
      </c>
      <c r="C29" s="55" t="s">
        <v>160</v>
      </c>
      <c r="D29" s="56">
        <v>0.4</v>
      </c>
      <c r="E29" s="56">
        <v>0.425</v>
      </c>
      <c r="F29" s="53">
        <v>4.94</v>
      </c>
      <c r="G29" s="56">
        <f t="shared" si="0"/>
        <v>0.17</v>
      </c>
      <c r="H29" s="57">
        <v>48.7</v>
      </c>
      <c r="I29" s="57">
        <v>1950</v>
      </c>
      <c r="J29" s="57">
        <f t="shared" si="1"/>
        <v>1.2175</v>
      </c>
      <c r="K29" s="59">
        <v>9.1</v>
      </c>
    </row>
    <row r="30" spans="1:11" s="49" customFormat="1" ht="18" customHeight="1">
      <c r="A30" s="52">
        <v>27</v>
      </c>
      <c r="B30" s="52" t="s">
        <v>135</v>
      </c>
      <c r="C30" s="55" t="s">
        <v>161</v>
      </c>
      <c r="D30" s="56">
        <v>0.40299999999999997</v>
      </c>
      <c r="E30" s="56">
        <v>0.425</v>
      </c>
      <c r="F30" s="53">
        <v>4.94</v>
      </c>
      <c r="G30" s="56">
        <f t="shared" si="0"/>
        <v>0.17127499999999998</v>
      </c>
      <c r="H30" s="57">
        <v>48.7</v>
      </c>
      <c r="I30" s="57">
        <v>1963</v>
      </c>
      <c r="J30" s="57">
        <f t="shared" si="1"/>
        <v>1.208436724565757</v>
      </c>
      <c r="K30" s="59">
        <v>10</v>
      </c>
    </row>
    <row r="31" spans="1:11" s="49" customFormat="1" ht="18" customHeight="1">
      <c r="A31" s="52">
        <v>28</v>
      </c>
      <c r="B31" s="52" t="s">
        <v>135</v>
      </c>
      <c r="C31" s="55" t="s">
        <v>162</v>
      </c>
      <c r="D31" s="56">
        <v>0.41</v>
      </c>
      <c r="E31" s="56">
        <v>0.425</v>
      </c>
      <c r="F31" s="53">
        <v>4.94</v>
      </c>
      <c r="G31" s="56">
        <f t="shared" si="0"/>
        <v>0.17425</v>
      </c>
      <c r="H31" s="57">
        <v>47</v>
      </c>
      <c r="I31" s="57">
        <v>1930</v>
      </c>
      <c r="J31" s="57">
        <f t="shared" si="1"/>
        <v>1.1463414634146343</v>
      </c>
      <c r="K31" s="59">
        <v>9.8</v>
      </c>
    </row>
    <row r="32" spans="1:11" s="49" customFormat="1" ht="18" customHeight="1">
      <c r="A32" s="52">
        <v>29</v>
      </c>
      <c r="B32" s="52" t="s">
        <v>135</v>
      </c>
      <c r="C32" s="55" t="s">
        <v>163</v>
      </c>
      <c r="D32" s="56">
        <v>0.518</v>
      </c>
      <c r="E32" s="56">
        <v>0.425</v>
      </c>
      <c r="F32" s="53">
        <v>4.94</v>
      </c>
      <c r="G32" s="56">
        <f t="shared" si="0"/>
        <v>0.22015</v>
      </c>
      <c r="H32" s="57">
        <v>57.8</v>
      </c>
      <c r="I32" s="57">
        <v>2990</v>
      </c>
      <c r="J32" s="57">
        <f t="shared" si="1"/>
        <v>1.1158301158301156</v>
      </c>
      <c r="K32" s="59">
        <v>15</v>
      </c>
    </row>
    <row r="33" spans="1:11" s="49" customFormat="1" ht="18" customHeight="1">
      <c r="A33" s="52">
        <v>30</v>
      </c>
      <c r="B33" s="52" t="s">
        <v>135</v>
      </c>
      <c r="C33" s="55" t="s">
        <v>164</v>
      </c>
      <c r="D33" s="56">
        <v>0.597</v>
      </c>
      <c r="E33" s="56">
        <v>0.43200000000000005</v>
      </c>
      <c r="F33" s="53">
        <v>5.8</v>
      </c>
      <c r="G33" s="56">
        <f t="shared" si="0"/>
        <v>0.257904</v>
      </c>
      <c r="H33" s="57">
        <v>66.9</v>
      </c>
      <c r="I33" s="57">
        <v>4000</v>
      </c>
      <c r="J33" s="57">
        <f t="shared" si="1"/>
        <v>1.120603015075377</v>
      </c>
      <c r="K33" s="59">
        <v>22</v>
      </c>
    </row>
    <row r="34" spans="1:11" s="49" customFormat="1" ht="18" customHeight="1">
      <c r="A34" s="52">
        <v>31</v>
      </c>
      <c r="B34" s="52" t="s">
        <v>135</v>
      </c>
      <c r="C34" s="55" t="s">
        <v>165</v>
      </c>
      <c r="D34" s="56">
        <v>0.86</v>
      </c>
      <c r="E34" s="56">
        <v>0.39399999999999996</v>
      </c>
      <c r="F34" s="53">
        <v>5.91</v>
      </c>
      <c r="G34" s="56">
        <f t="shared" si="0"/>
        <v>0.33884</v>
      </c>
      <c r="H34" s="57">
        <v>48.2</v>
      </c>
      <c r="I34" s="57">
        <v>4150</v>
      </c>
      <c r="J34" s="57">
        <f t="shared" si="1"/>
        <v>0.5604651162790698</v>
      </c>
      <c r="K34" s="59">
        <v>22</v>
      </c>
    </row>
    <row r="35" spans="1:11" s="49" customFormat="1" ht="18" customHeight="1">
      <c r="A35" s="52">
        <v>32</v>
      </c>
      <c r="B35" s="52" t="s">
        <v>135</v>
      </c>
      <c r="C35" s="55" t="s">
        <v>166</v>
      </c>
      <c r="D35" s="56">
        <v>1.09</v>
      </c>
      <c r="E35" s="56">
        <v>0.445</v>
      </c>
      <c r="F35" s="53">
        <v>6.1</v>
      </c>
      <c r="G35" s="56">
        <f t="shared" si="0"/>
        <v>0.48505000000000004</v>
      </c>
      <c r="H35" s="57">
        <v>57.7</v>
      </c>
      <c r="I35" s="57">
        <v>6290</v>
      </c>
      <c r="J35" s="57">
        <f t="shared" si="1"/>
        <v>0.5293577981651376</v>
      </c>
      <c r="K35" s="59">
        <v>32</v>
      </c>
    </row>
    <row r="36" spans="1:11" s="49" customFormat="1" ht="18" customHeight="1">
      <c r="A36" s="52">
        <v>33</v>
      </c>
      <c r="B36" s="52" t="s">
        <v>135</v>
      </c>
      <c r="C36" s="55" t="s">
        <v>167</v>
      </c>
      <c r="D36" s="56">
        <v>1.11</v>
      </c>
      <c r="E36" s="56">
        <v>0.445</v>
      </c>
      <c r="F36" s="53">
        <v>6.1</v>
      </c>
      <c r="G36" s="56">
        <f t="shared" si="0"/>
        <v>0.49395000000000006</v>
      </c>
      <c r="H36" s="57">
        <v>58</v>
      </c>
      <c r="I36" s="57">
        <v>6440</v>
      </c>
      <c r="J36" s="57">
        <f t="shared" si="1"/>
        <v>0.5225225225225225</v>
      </c>
      <c r="K36" s="59">
        <v>34</v>
      </c>
    </row>
    <row r="37" spans="1:11" s="49" customFormat="1" ht="18" customHeight="1">
      <c r="A37" s="52">
        <v>34</v>
      </c>
      <c r="B37" s="52" t="s">
        <v>135</v>
      </c>
      <c r="C37" s="55" t="s">
        <v>168</v>
      </c>
      <c r="D37" s="56">
        <v>0.8320000000000001</v>
      </c>
      <c r="E37" s="56">
        <v>0.888</v>
      </c>
      <c r="F37" s="53">
        <v>7.23</v>
      </c>
      <c r="G37" s="56">
        <f t="shared" si="0"/>
        <v>0.738816</v>
      </c>
      <c r="H37" s="57">
        <v>74.3</v>
      </c>
      <c r="I37" s="57">
        <v>6180</v>
      </c>
      <c r="J37" s="57">
        <f t="shared" si="1"/>
        <v>0.893028846153846</v>
      </c>
      <c r="K37" s="59">
        <v>32</v>
      </c>
    </row>
    <row r="38" spans="1:11" s="49" customFormat="1" ht="18" customHeight="1">
      <c r="A38" s="52">
        <v>35</v>
      </c>
      <c r="B38" s="52" t="s">
        <v>135</v>
      </c>
      <c r="C38" s="55" t="s">
        <v>169</v>
      </c>
      <c r="D38" s="56">
        <v>0.8490000000000001</v>
      </c>
      <c r="E38" s="56">
        <v>0.887</v>
      </c>
      <c r="F38" s="53">
        <v>6.85</v>
      </c>
      <c r="G38" s="56">
        <f t="shared" si="0"/>
        <v>0.753063</v>
      </c>
      <c r="H38" s="57">
        <v>69.6</v>
      </c>
      <c r="I38" s="57">
        <v>5907</v>
      </c>
      <c r="J38" s="57">
        <f t="shared" si="1"/>
        <v>0.8197879858657242</v>
      </c>
      <c r="K38" s="59">
        <v>28</v>
      </c>
    </row>
    <row r="39" spans="1:11" s="49" customFormat="1" ht="18" customHeight="1">
      <c r="A39" s="52">
        <v>36</v>
      </c>
      <c r="B39" s="52" t="s">
        <v>135</v>
      </c>
      <c r="C39" s="55" t="s">
        <v>170</v>
      </c>
      <c r="D39" s="56">
        <v>0.893</v>
      </c>
      <c r="E39" s="56">
        <v>0.887</v>
      </c>
      <c r="F39" s="53">
        <v>6.85</v>
      </c>
      <c r="G39" s="56">
        <f t="shared" si="0"/>
        <v>0.792091</v>
      </c>
      <c r="H39" s="57">
        <v>69.2</v>
      </c>
      <c r="I39" s="57">
        <v>6179</v>
      </c>
      <c r="J39" s="57">
        <f t="shared" si="1"/>
        <v>0.7749160134378499</v>
      </c>
      <c r="K39" s="59">
        <v>57</v>
      </c>
    </row>
    <row r="40" spans="1:11" s="49" customFormat="1" ht="18" customHeight="1">
      <c r="A40" s="52">
        <v>37</v>
      </c>
      <c r="B40" s="52" t="s">
        <v>135</v>
      </c>
      <c r="C40" s="55" t="s">
        <v>171</v>
      </c>
      <c r="D40" s="56">
        <v>1.01</v>
      </c>
      <c r="E40" s="56">
        <v>0.887</v>
      </c>
      <c r="F40" s="53">
        <v>6.85</v>
      </c>
      <c r="G40" s="56">
        <f t="shared" si="0"/>
        <v>0.89587</v>
      </c>
      <c r="H40" s="57">
        <v>67.1</v>
      </c>
      <c r="I40" s="57">
        <v>6780</v>
      </c>
      <c r="J40" s="57">
        <f t="shared" si="1"/>
        <v>0.6643564356435643</v>
      </c>
      <c r="K40" s="59">
        <v>36</v>
      </c>
    </row>
    <row r="41" spans="1:11" s="49" customFormat="1" ht="18" customHeight="1">
      <c r="A41" s="52">
        <v>38</v>
      </c>
      <c r="B41" s="52" t="s">
        <v>135</v>
      </c>
      <c r="C41" s="55" t="s">
        <v>136</v>
      </c>
      <c r="D41" s="56">
        <v>1.19</v>
      </c>
      <c r="E41" s="56">
        <v>0.888</v>
      </c>
      <c r="F41" s="53">
        <v>7.23</v>
      </c>
      <c r="G41" s="56">
        <f t="shared" si="0"/>
        <v>1.0567199999999999</v>
      </c>
      <c r="H41" s="57">
        <v>67.5</v>
      </c>
      <c r="I41" s="57">
        <v>8030</v>
      </c>
      <c r="J41" s="57">
        <f t="shared" si="1"/>
        <v>0.5672268907563026</v>
      </c>
      <c r="K41" s="59">
        <v>41</v>
      </c>
    </row>
    <row r="42" spans="1:11" s="49" customFormat="1" ht="18" customHeight="1">
      <c r="A42" s="52">
        <v>39</v>
      </c>
      <c r="B42" s="52" t="s">
        <v>135</v>
      </c>
      <c r="C42" s="55" t="s">
        <v>172</v>
      </c>
      <c r="D42" s="56">
        <v>1.21</v>
      </c>
      <c r="E42" s="56">
        <v>0.9605</v>
      </c>
      <c r="F42" s="53">
        <v>7.6</v>
      </c>
      <c r="G42" s="56">
        <f t="shared" si="0"/>
        <v>1.162205</v>
      </c>
      <c r="H42" s="57">
        <v>105</v>
      </c>
      <c r="I42" s="57">
        <v>12700</v>
      </c>
      <c r="J42" s="57">
        <f t="shared" si="1"/>
        <v>0.8677685950413223</v>
      </c>
      <c r="K42" s="59">
        <v>68</v>
      </c>
    </row>
    <row r="43" spans="1:11" s="49" customFormat="1" ht="18" customHeight="1">
      <c r="A43" s="52">
        <v>40</v>
      </c>
      <c r="B43" s="52" t="s">
        <v>135</v>
      </c>
      <c r="C43" s="55" t="s">
        <v>173</v>
      </c>
      <c r="D43" s="56">
        <v>1.28</v>
      </c>
      <c r="E43" s="56">
        <v>1.08</v>
      </c>
      <c r="F43" s="53">
        <v>7.6</v>
      </c>
      <c r="G43" s="56">
        <f t="shared" si="0"/>
        <v>1.3824</v>
      </c>
      <c r="H43" s="57">
        <v>77.3</v>
      </c>
      <c r="I43" s="57">
        <v>9890</v>
      </c>
      <c r="J43" s="57">
        <f t="shared" si="1"/>
        <v>0.60390625</v>
      </c>
      <c r="K43" s="59">
        <v>50</v>
      </c>
    </row>
    <row r="44" spans="1:11" s="49" customFormat="1" ht="18" customHeight="1">
      <c r="A44" s="52">
        <v>41</v>
      </c>
      <c r="B44" s="52" t="s">
        <v>135</v>
      </c>
      <c r="C44" s="55" t="s">
        <v>174</v>
      </c>
      <c r="D44" s="56">
        <v>1.48</v>
      </c>
      <c r="E44" s="56">
        <v>1.081</v>
      </c>
      <c r="F44" s="53">
        <v>7.56</v>
      </c>
      <c r="G44" s="56">
        <f t="shared" si="0"/>
        <v>1.59988</v>
      </c>
      <c r="H44" s="57">
        <v>77</v>
      </c>
      <c r="I44" s="57">
        <v>11400</v>
      </c>
      <c r="J44" s="57">
        <f t="shared" si="1"/>
        <v>0.5202702702702703</v>
      </c>
      <c r="K44" s="59">
        <v>60</v>
      </c>
    </row>
    <row r="45" spans="1:11" s="49" customFormat="1" ht="18" customHeight="1">
      <c r="A45" s="52">
        <v>42</v>
      </c>
      <c r="B45" s="52" t="s">
        <v>135</v>
      </c>
      <c r="C45" s="55" t="s">
        <v>175</v>
      </c>
      <c r="D45" s="56">
        <v>1.57</v>
      </c>
      <c r="E45" s="56">
        <v>1.081</v>
      </c>
      <c r="F45" s="53">
        <v>7.56</v>
      </c>
      <c r="G45" s="56">
        <f t="shared" si="0"/>
        <v>1.69717</v>
      </c>
      <c r="H45" s="57">
        <v>77.6</v>
      </c>
      <c r="I45" s="57">
        <v>12200</v>
      </c>
      <c r="J45" s="57">
        <f t="shared" si="1"/>
        <v>0.4942675159235668</v>
      </c>
      <c r="K45" s="59">
        <v>64</v>
      </c>
    </row>
    <row r="46" spans="1:11" s="49" customFormat="1" ht="18" customHeight="1">
      <c r="A46" s="52">
        <v>43</v>
      </c>
      <c r="B46" s="52" t="s">
        <v>135</v>
      </c>
      <c r="C46" s="55" t="s">
        <v>176</v>
      </c>
      <c r="D46" s="56">
        <v>1.53</v>
      </c>
      <c r="E46" s="56">
        <v>1.1509</v>
      </c>
      <c r="F46" s="53">
        <v>8.8</v>
      </c>
      <c r="G46" s="56">
        <f aca="true" t="shared" si="2" ref="G46:G64">D46*E46</f>
        <v>1.760877</v>
      </c>
      <c r="H46" s="57">
        <v>126</v>
      </c>
      <c r="I46" s="57">
        <v>19300</v>
      </c>
      <c r="J46" s="57">
        <f aca="true" t="shared" si="3" ref="J46:J64">H46/D46/100</f>
        <v>0.8235294117647058</v>
      </c>
      <c r="K46" s="59">
        <v>102</v>
      </c>
    </row>
    <row r="47" spans="1:11" s="49" customFormat="1" ht="18" customHeight="1">
      <c r="A47" s="52">
        <v>44</v>
      </c>
      <c r="B47" s="52" t="s">
        <v>135</v>
      </c>
      <c r="C47" s="55" t="s">
        <v>177</v>
      </c>
      <c r="D47" s="56">
        <v>1.82</v>
      </c>
      <c r="E47" s="56">
        <v>1.7</v>
      </c>
      <c r="F47" s="53">
        <v>9.4</v>
      </c>
      <c r="G47" s="56">
        <f t="shared" si="2"/>
        <v>3.094</v>
      </c>
      <c r="H47" s="57">
        <v>97</v>
      </c>
      <c r="I47" s="57">
        <v>17600</v>
      </c>
      <c r="J47" s="57">
        <f t="shared" si="3"/>
        <v>0.532967032967033</v>
      </c>
      <c r="K47" s="59">
        <v>80</v>
      </c>
    </row>
    <row r="48" spans="1:11" s="49" customFormat="1" ht="18" customHeight="1">
      <c r="A48" s="52">
        <v>45</v>
      </c>
      <c r="B48" s="52" t="s">
        <v>135</v>
      </c>
      <c r="C48" s="55" t="s">
        <v>178</v>
      </c>
      <c r="D48" s="56">
        <v>2.26</v>
      </c>
      <c r="E48" s="56">
        <v>1.7</v>
      </c>
      <c r="F48" s="53">
        <v>9.4</v>
      </c>
      <c r="G48" s="56">
        <f t="shared" si="2"/>
        <v>3.8419999999999996</v>
      </c>
      <c r="H48" s="57">
        <v>95.8</v>
      </c>
      <c r="I48" s="57">
        <v>21600</v>
      </c>
      <c r="J48" s="57">
        <f t="shared" si="3"/>
        <v>0.42389380530973453</v>
      </c>
      <c r="K48" s="59">
        <v>116</v>
      </c>
    </row>
    <row r="49" spans="1:11" s="49" customFormat="1" ht="18" customHeight="1">
      <c r="A49" s="52">
        <v>46</v>
      </c>
      <c r="B49" s="52" t="s">
        <v>135</v>
      </c>
      <c r="C49" s="55" t="s">
        <v>179</v>
      </c>
      <c r="D49" s="56">
        <v>2.3</v>
      </c>
      <c r="E49" s="56">
        <v>1.7</v>
      </c>
      <c r="F49" s="53">
        <v>9.4</v>
      </c>
      <c r="G49" s="56">
        <f t="shared" si="2"/>
        <v>3.9099999999999997</v>
      </c>
      <c r="H49" s="57">
        <v>94</v>
      </c>
      <c r="I49" s="57">
        <v>21620</v>
      </c>
      <c r="J49" s="57">
        <f t="shared" si="3"/>
        <v>0.40869565217391307</v>
      </c>
      <c r="K49" s="59">
        <v>115</v>
      </c>
    </row>
    <row r="50" spans="1:11" s="49" customFormat="1" ht="18" customHeight="1">
      <c r="A50" s="52">
        <v>47</v>
      </c>
      <c r="B50" s="52" t="s">
        <v>135</v>
      </c>
      <c r="C50" s="55" t="s">
        <v>180</v>
      </c>
      <c r="D50" s="56">
        <v>2.35</v>
      </c>
      <c r="E50" s="56">
        <v>1.7</v>
      </c>
      <c r="F50" s="53">
        <v>9.4</v>
      </c>
      <c r="G50" s="56">
        <f t="shared" si="2"/>
        <v>3.995</v>
      </c>
      <c r="H50" s="57">
        <v>97.4</v>
      </c>
      <c r="I50" s="57">
        <v>22900</v>
      </c>
      <c r="J50" s="57">
        <f t="shared" si="3"/>
        <v>0.414468085106383</v>
      </c>
      <c r="K50" s="59">
        <v>116</v>
      </c>
    </row>
    <row r="51" spans="1:11" s="49" customFormat="1" ht="18" customHeight="1">
      <c r="A51" s="52">
        <v>48</v>
      </c>
      <c r="B51" s="52" t="s">
        <v>135</v>
      </c>
      <c r="C51" s="55" t="s">
        <v>181</v>
      </c>
      <c r="D51" s="56">
        <v>2.42</v>
      </c>
      <c r="E51" s="56">
        <v>1.7</v>
      </c>
      <c r="F51" s="53">
        <v>9.4</v>
      </c>
      <c r="G51" s="56">
        <f t="shared" si="2"/>
        <v>4.114</v>
      </c>
      <c r="H51" s="57">
        <v>90.6</v>
      </c>
      <c r="I51" s="57">
        <v>21930</v>
      </c>
      <c r="J51" s="57">
        <f t="shared" si="3"/>
        <v>0.37438016528925616</v>
      </c>
      <c r="K51" s="59">
        <v>108</v>
      </c>
    </row>
    <row r="52" spans="1:11" s="49" customFormat="1" ht="18" customHeight="1">
      <c r="A52" s="52">
        <v>49</v>
      </c>
      <c r="B52" s="52" t="s">
        <v>135</v>
      </c>
      <c r="C52" s="55" t="s">
        <v>182</v>
      </c>
      <c r="D52" s="56">
        <v>2.47</v>
      </c>
      <c r="E52" s="56">
        <v>2.94</v>
      </c>
      <c r="F52" s="53">
        <v>11.3</v>
      </c>
      <c r="G52" s="56">
        <f t="shared" si="2"/>
        <v>7.2618</v>
      </c>
      <c r="H52" s="57">
        <v>109</v>
      </c>
      <c r="I52" s="57">
        <v>26900</v>
      </c>
      <c r="J52" s="57">
        <f t="shared" si="3"/>
        <v>0.44129554655870445</v>
      </c>
      <c r="K52" s="59">
        <v>139</v>
      </c>
    </row>
    <row r="53" spans="1:11" s="49" customFormat="1" ht="18" customHeight="1">
      <c r="A53" s="52">
        <v>50</v>
      </c>
      <c r="B53" s="52" t="s">
        <v>135</v>
      </c>
      <c r="C53" s="55" t="s">
        <v>183</v>
      </c>
      <c r="D53" s="56">
        <v>2.47</v>
      </c>
      <c r="E53" s="56">
        <v>2.94</v>
      </c>
      <c r="F53" s="53">
        <v>11.3</v>
      </c>
      <c r="G53" s="56">
        <f t="shared" si="2"/>
        <v>7.2618</v>
      </c>
      <c r="H53" s="57">
        <v>110</v>
      </c>
      <c r="I53" s="57">
        <v>27100</v>
      </c>
      <c r="J53" s="57">
        <f t="shared" si="3"/>
        <v>0.44534412955465585</v>
      </c>
      <c r="K53" s="59">
        <v>135</v>
      </c>
    </row>
    <row r="54" spans="1:11" s="49" customFormat="1" ht="18" customHeight="1">
      <c r="A54" s="52">
        <v>51</v>
      </c>
      <c r="B54" s="52" t="s">
        <v>141</v>
      </c>
      <c r="C54" s="55" t="s">
        <v>142</v>
      </c>
      <c r="D54" s="56">
        <v>3.54</v>
      </c>
      <c r="E54" s="56">
        <v>2.8</v>
      </c>
      <c r="F54" s="53"/>
      <c r="G54" s="56">
        <f t="shared" si="2"/>
        <v>9.911999999999999</v>
      </c>
      <c r="H54" s="57">
        <v>120</v>
      </c>
      <c r="I54" s="57">
        <v>42500</v>
      </c>
      <c r="J54" s="57">
        <f t="shared" si="3"/>
        <v>0.33898305084745767</v>
      </c>
      <c r="K54" s="59">
        <v>216</v>
      </c>
    </row>
    <row r="55" spans="1:11" ht="18" customHeight="1">
      <c r="A55" s="52">
        <v>52</v>
      </c>
      <c r="B55" s="52" t="s">
        <v>135</v>
      </c>
      <c r="C55" s="55" t="s">
        <v>184</v>
      </c>
      <c r="D55" s="56">
        <v>3.44</v>
      </c>
      <c r="E55" s="56">
        <v>2.94</v>
      </c>
      <c r="F55" s="52">
        <v>11.3</v>
      </c>
      <c r="G55" s="56">
        <f t="shared" si="2"/>
        <v>10.1136</v>
      </c>
      <c r="H55" s="57">
        <v>102</v>
      </c>
      <c r="I55" s="57">
        <v>35100</v>
      </c>
      <c r="J55" s="57">
        <f t="shared" si="3"/>
        <v>0.29651162790697677</v>
      </c>
      <c r="K55" s="59">
        <v>190</v>
      </c>
    </row>
    <row r="56" spans="1:11" ht="18" customHeight="1">
      <c r="A56" s="52">
        <v>53</v>
      </c>
      <c r="B56" s="52" t="s">
        <v>135</v>
      </c>
      <c r="C56" s="55" t="s">
        <v>143</v>
      </c>
      <c r="D56" s="56">
        <v>3.54</v>
      </c>
      <c r="E56" s="56">
        <v>2.94</v>
      </c>
      <c r="F56" s="52">
        <v>11.3</v>
      </c>
      <c r="G56" s="56">
        <f t="shared" si="2"/>
        <v>10.4076</v>
      </c>
      <c r="H56" s="57">
        <v>123</v>
      </c>
      <c r="I56" s="57">
        <v>43700</v>
      </c>
      <c r="J56" s="57">
        <f t="shared" si="3"/>
        <v>0.3474576271186441</v>
      </c>
      <c r="K56" s="59">
        <v>234</v>
      </c>
    </row>
    <row r="57" spans="1:11" ht="18" customHeight="1">
      <c r="A57" s="52">
        <v>54</v>
      </c>
      <c r="B57" s="52" t="s">
        <v>141</v>
      </c>
      <c r="C57" s="55" t="s">
        <v>185</v>
      </c>
      <c r="D57" s="56">
        <v>5.32</v>
      </c>
      <c r="E57" s="56">
        <v>5.51</v>
      </c>
      <c r="F57" s="52"/>
      <c r="G57" s="56">
        <f t="shared" si="2"/>
        <v>29.313200000000002</v>
      </c>
      <c r="H57" s="57">
        <v>147</v>
      </c>
      <c r="I57" s="57">
        <v>78200</v>
      </c>
      <c r="J57" s="57">
        <f t="shared" si="3"/>
        <v>0.27631578947368424</v>
      </c>
      <c r="K57" s="59">
        <v>551</v>
      </c>
    </row>
    <row r="58" spans="1:11" ht="18" customHeight="1">
      <c r="A58" s="52">
        <v>55</v>
      </c>
      <c r="B58" s="52" t="s">
        <v>141</v>
      </c>
      <c r="C58" s="55" t="s">
        <v>186</v>
      </c>
      <c r="D58" s="56">
        <v>4.61</v>
      </c>
      <c r="E58" s="56">
        <v>7.76</v>
      </c>
      <c r="F58" s="52"/>
      <c r="G58" s="56">
        <f t="shared" si="2"/>
        <v>35.7736</v>
      </c>
      <c r="H58" s="57">
        <v>159</v>
      </c>
      <c r="I58" s="57">
        <v>73200</v>
      </c>
      <c r="J58" s="57">
        <f t="shared" si="3"/>
        <v>0.34490238611713664</v>
      </c>
      <c r="K58" s="59">
        <v>776</v>
      </c>
    </row>
    <row r="59" spans="1:11" ht="18" customHeight="1">
      <c r="A59" s="52">
        <v>56</v>
      </c>
      <c r="B59" s="52" t="s">
        <v>141</v>
      </c>
      <c r="C59" s="55" t="s">
        <v>187</v>
      </c>
      <c r="D59" s="56">
        <v>6.65</v>
      </c>
      <c r="E59" s="56">
        <v>5.83</v>
      </c>
      <c r="F59" s="52"/>
      <c r="G59" s="56">
        <f t="shared" si="2"/>
        <v>38.7695</v>
      </c>
      <c r="H59" s="57">
        <v>150</v>
      </c>
      <c r="I59" s="57">
        <v>99800</v>
      </c>
      <c r="J59" s="57">
        <f t="shared" si="3"/>
        <v>0.22556390977443608</v>
      </c>
      <c r="K59" s="59">
        <v>583</v>
      </c>
    </row>
    <row r="60" spans="1:11" ht="18" customHeight="1">
      <c r="A60" s="52">
        <v>57</v>
      </c>
      <c r="B60" s="52" t="s">
        <v>141</v>
      </c>
      <c r="C60" s="55" t="s">
        <v>188</v>
      </c>
      <c r="D60" s="56">
        <v>3.917</v>
      </c>
      <c r="E60" s="56">
        <v>11.17</v>
      </c>
      <c r="F60" s="52"/>
      <c r="G60" s="56">
        <f t="shared" si="2"/>
        <v>43.75289</v>
      </c>
      <c r="H60" s="57">
        <v>184.1</v>
      </c>
      <c r="I60" s="57">
        <v>72112</v>
      </c>
      <c r="J60" s="57">
        <f t="shared" si="3"/>
        <v>0.47000255297421495</v>
      </c>
      <c r="K60" s="59">
        <v>1117</v>
      </c>
    </row>
    <row r="61" spans="1:11" ht="18" customHeight="1">
      <c r="A61" s="52">
        <v>58</v>
      </c>
      <c r="B61" s="52" t="s">
        <v>141</v>
      </c>
      <c r="C61" s="55" t="s">
        <v>189</v>
      </c>
      <c r="D61" s="56">
        <v>7.14</v>
      </c>
      <c r="E61" s="56">
        <v>8.17</v>
      </c>
      <c r="F61" s="52"/>
      <c r="G61" s="56">
        <f t="shared" si="2"/>
        <v>58.3338</v>
      </c>
      <c r="H61" s="57">
        <v>188</v>
      </c>
      <c r="I61" s="57">
        <v>134500</v>
      </c>
      <c r="J61" s="57">
        <f t="shared" si="3"/>
        <v>0.26330532212885155</v>
      </c>
      <c r="K61" s="59">
        <v>817</v>
      </c>
    </row>
    <row r="62" spans="1:11" ht="18" customHeight="1">
      <c r="A62" s="52">
        <v>59</v>
      </c>
      <c r="B62" s="52" t="s">
        <v>141</v>
      </c>
      <c r="C62" s="55" t="s">
        <v>190</v>
      </c>
      <c r="D62" s="56">
        <v>8.59</v>
      </c>
      <c r="E62" s="56">
        <v>8.17</v>
      </c>
      <c r="F62" s="52"/>
      <c r="G62" s="56">
        <f t="shared" si="2"/>
        <v>70.1803</v>
      </c>
      <c r="H62" s="57">
        <v>189</v>
      </c>
      <c r="I62" s="57">
        <v>162000</v>
      </c>
      <c r="J62" s="57">
        <f t="shared" si="3"/>
        <v>0.220023282887078</v>
      </c>
      <c r="K62" s="59">
        <v>817</v>
      </c>
    </row>
    <row r="63" spans="1:11" ht="18" customHeight="1">
      <c r="A63" s="52">
        <v>60</v>
      </c>
      <c r="B63" s="52" t="s">
        <v>141</v>
      </c>
      <c r="C63" s="55" t="s">
        <v>191</v>
      </c>
      <c r="D63" s="56">
        <v>12.8</v>
      </c>
      <c r="E63" s="56">
        <v>14.06</v>
      </c>
      <c r="F63" s="52"/>
      <c r="G63" s="56">
        <f t="shared" si="2"/>
        <v>179.96800000000002</v>
      </c>
      <c r="H63" s="57">
        <v>144</v>
      </c>
      <c r="I63" s="57">
        <v>312000</v>
      </c>
      <c r="J63" s="57">
        <f t="shared" si="3"/>
        <v>0.1125</v>
      </c>
      <c r="K63" s="59">
        <v>1406</v>
      </c>
    </row>
    <row r="64" spans="1:11" ht="18" customHeight="1">
      <c r="A64" s="52">
        <v>61</v>
      </c>
      <c r="B64" s="52" t="s">
        <v>141</v>
      </c>
      <c r="C64" s="55" t="s">
        <v>192</v>
      </c>
      <c r="D64" s="56">
        <v>16</v>
      </c>
      <c r="E64" s="56">
        <v>21.05</v>
      </c>
      <c r="F64" s="52"/>
      <c r="G64" s="56">
        <f t="shared" si="2"/>
        <v>336.8</v>
      </c>
      <c r="H64" s="57">
        <v>285.6</v>
      </c>
      <c r="I64" s="57">
        <v>456960</v>
      </c>
      <c r="J64" s="57">
        <f t="shared" si="3"/>
        <v>0.17850000000000002</v>
      </c>
      <c r="K64" s="59">
        <v>2105</v>
      </c>
    </row>
  </sheetData>
  <sheetProtection/>
  <mergeCells count="5">
    <mergeCell ref="A1:K1"/>
    <mergeCell ref="D2:K2"/>
    <mergeCell ref="A2:A3"/>
    <mergeCell ref="B2:B3"/>
    <mergeCell ref="C2:C3"/>
  </mergeCells>
  <printOptions/>
  <pageMargins left="0.2" right="0.2" top="0.2" bottom="0.24" header="0.12" footer="0.1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pane xSplit="2" ySplit="1" topLeftCell="C2" activePane="bottomRight" state="frozen"/>
      <selection pane="bottomRight" activeCell="J15" sqref="J15"/>
    </sheetView>
  </sheetViews>
  <sheetFormatPr defaultColWidth="9.00390625" defaultRowHeight="18" customHeight="1"/>
  <cols>
    <col min="1" max="2" width="6.00390625" style="44" customWidth="1"/>
    <col min="3" max="9" width="14.375" style="44" customWidth="1"/>
    <col min="10" max="16384" width="9.00390625" style="44" customWidth="1"/>
  </cols>
  <sheetData>
    <row r="1" spans="1:9" ht="36" customHeight="1">
      <c r="A1" s="45" t="s">
        <v>123</v>
      </c>
      <c r="B1" s="45" t="s">
        <v>193</v>
      </c>
      <c r="C1" s="45" t="s">
        <v>194</v>
      </c>
      <c r="D1" s="45" t="s">
        <v>195</v>
      </c>
      <c r="E1" s="45" t="s">
        <v>196</v>
      </c>
      <c r="F1" s="45" t="s">
        <v>197</v>
      </c>
      <c r="G1" s="46" t="s">
        <v>198</v>
      </c>
      <c r="H1" s="46" t="s">
        <v>199</v>
      </c>
      <c r="I1" s="45" t="s">
        <v>200</v>
      </c>
    </row>
    <row r="2" spans="1:9" ht="18" customHeight="1">
      <c r="A2" s="47">
        <v>32</v>
      </c>
      <c r="B2" s="45" t="s">
        <v>193</v>
      </c>
      <c r="C2" s="48">
        <v>2.59</v>
      </c>
      <c r="D2" s="48">
        <v>5.262</v>
      </c>
      <c r="E2" s="48">
        <v>2.73</v>
      </c>
      <c r="F2" s="48">
        <v>5.8572</v>
      </c>
      <c r="G2" s="48">
        <v>0.0033</v>
      </c>
      <c r="H2" s="48">
        <v>0.0044</v>
      </c>
      <c r="I2" s="48">
        <v>23.679</v>
      </c>
    </row>
    <row r="3" spans="1:9" ht="18" customHeight="1">
      <c r="A3" s="47">
        <v>31</v>
      </c>
      <c r="B3" s="45" t="s">
        <v>193</v>
      </c>
      <c r="C3" s="48">
        <v>2.31</v>
      </c>
      <c r="D3" s="48">
        <v>4.1729</v>
      </c>
      <c r="E3" s="48">
        <v>2.44</v>
      </c>
      <c r="F3" s="48">
        <v>4.7638</v>
      </c>
      <c r="G3" s="48">
        <v>0.0041</v>
      </c>
      <c r="H3" s="48">
        <v>0.0055</v>
      </c>
      <c r="I3" s="48">
        <v>18.778</v>
      </c>
    </row>
    <row r="4" spans="1:9" ht="18" customHeight="1">
      <c r="A4" s="47">
        <v>30</v>
      </c>
      <c r="B4" s="45" t="s">
        <v>193</v>
      </c>
      <c r="C4" s="48">
        <v>2.05</v>
      </c>
      <c r="D4" s="48">
        <v>3.3092</v>
      </c>
      <c r="E4" s="48">
        <v>2.18</v>
      </c>
      <c r="F4" s="48">
        <v>3.7309</v>
      </c>
      <c r="G4" s="48">
        <v>0.0052</v>
      </c>
      <c r="H4" s="48">
        <v>0.007</v>
      </c>
      <c r="I4" s="48">
        <v>14.892</v>
      </c>
    </row>
    <row r="5" spans="1:9" ht="18" customHeight="1">
      <c r="A5" s="47">
        <v>29</v>
      </c>
      <c r="B5" s="45" t="s">
        <v>193</v>
      </c>
      <c r="C5" s="48">
        <v>1.83</v>
      </c>
      <c r="D5" s="48">
        <v>2.6243</v>
      </c>
      <c r="E5" s="48">
        <v>1.95</v>
      </c>
      <c r="F5" s="48">
        <v>2.9793</v>
      </c>
      <c r="G5" s="48">
        <v>0.0066</v>
      </c>
      <c r="H5" s="48">
        <v>0.0088</v>
      </c>
      <c r="I5" s="48">
        <v>11.809</v>
      </c>
    </row>
    <row r="6" spans="1:9" ht="18" customHeight="1">
      <c r="A6" s="47">
        <v>28</v>
      </c>
      <c r="B6" s="45" t="s">
        <v>193</v>
      </c>
      <c r="C6" s="48">
        <v>1.63</v>
      </c>
      <c r="D6" s="48">
        <v>2.0811</v>
      </c>
      <c r="E6" s="48">
        <v>1.74</v>
      </c>
      <c r="F6" s="48">
        <v>2.38</v>
      </c>
      <c r="G6" s="48">
        <v>0.0083</v>
      </c>
      <c r="H6" s="48">
        <v>0.0111</v>
      </c>
      <c r="I6" s="48">
        <v>9.365</v>
      </c>
    </row>
    <row r="7" spans="1:9" ht="18" customHeight="1">
      <c r="A7" s="47">
        <v>27</v>
      </c>
      <c r="B7" s="45" t="s">
        <v>193</v>
      </c>
      <c r="C7" s="48">
        <v>1.45</v>
      </c>
      <c r="D7" s="48">
        <v>1.6504</v>
      </c>
      <c r="E7" s="48">
        <v>1.56</v>
      </c>
      <c r="F7" s="48">
        <v>1.9021</v>
      </c>
      <c r="G7" s="48">
        <v>0.0104</v>
      </c>
      <c r="H7" s="48">
        <v>0.014</v>
      </c>
      <c r="I7" s="48">
        <v>7.427</v>
      </c>
    </row>
    <row r="8" spans="1:9" ht="18" customHeight="1">
      <c r="A8" s="47">
        <v>26</v>
      </c>
      <c r="B8" s="45" t="s">
        <v>193</v>
      </c>
      <c r="C8" s="48">
        <v>1.29</v>
      </c>
      <c r="D8" s="48">
        <v>1.3088</v>
      </c>
      <c r="E8" s="48">
        <v>1.39</v>
      </c>
      <c r="F8" s="48">
        <v>1.5207</v>
      </c>
      <c r="G8" s="48">
        <v>0.0132</v>
      </c>
      <c r="H8" s="48">
        <v>0.0176</v>
      </c>
      <c r="I8" s="48">
        <v>5.89</v>
      </c>
    </row>
    <row r="9" spans="1:9" ht="18" customHeight="1">
      <c r="A9" s="47">
        <v>25</v>
      </c>
      <c r="B9" s="45" t="s">
        <v>193</v>
      </c>
      <c r="C9" s="48">
        <v>1.15</v>
      </c>
      <c r="D9" s="48">
        <v>1.0379</v>
      </c>
      <c r="E9" s="48">
        <v>1.24</v>
      </c>
      <c r="F9" s="48">
        <v>1.2164</v>
      </c>
      <c r="G9" s="48">
        <v>0.0166</v>
      </c>
      <c r="H9" s="48">
        <v>0.0222</v>
      </c>
      <c r="I9" s="48">
        <v>4.671</v>
      </c>
    </row>
    <row r="10" spans="1:9" ht="18" customHeight="1">
      <c r="A10" s="47">
        <v>24</v>
      </c>
      <c r="B10" s="45" t="s">
        <v>193</v>
      </c>
      <c r="C10" s="48">
        <v>1.02</v>
      </c>
      <c r="D10" s="48">
        <v>0.8231</v>
      </c>
      <c r="E10" s="48">
        <v>1.11</v>
      </c>
      <c r="F10" s="48">
        <v>0.9735</v>
      </c>
      <c r="G10" s="48">
        <v>0.0209</v>
      </c>
      <c r="H10" s="48">
        <v>0.028</v>
      </c>
      <c r="I10" s="48">
        <v>3.704</v>
      </c>
    </row>
    <row r="11" spans="1:9" ht="18" customHeight="1">
      <c r="A11" s="47">
        <v>23</v>
      </c>
      <c r="B11" s="45" t="s">
        <v>193</v>
      </c>
      <c r="C11" s="48">
        <v>0.91</v>
      </c>
      <c r="D11" s="48">
        <v>0.6527</v>
      </c>
      <c r="E11" s="48">
        <v>1</v>
      </c>
      <c r="F11" s="48">
        <v>0.7794</v>
      </c>
      <c r="G11" s="48">
        <v>0.0264</v>
      </c>
      <c r="H11" s="48">
        <v>0.0353</v>
      </c>
      <c r="I11" s="48">
        <v>2.937</v>
      </c>
    </row>
    <row r="12" spans="1:9" ht="18" customHeight="1">
      <c r="A12" s="47">
        <v>22</v>
      </c>
      <c r="B12" s="45" t="s">
        <v>193</v>
      </c>
      <c r="C12" s="48">
        <v>0.81</v>
      </c>
      <c r="D12" s="48">
        <v>0.5176</v>
      </c>
      <c r="E12" s="48">
        <v>0.89</v>
      </c>
      <c r="F12" s="48">
        <v>0.6244</v>
      </c>
      <c r="G12" s="48">
        <v>0.0333</v>
      </c>
      <c r="H12" s="48">
        <v>0.0445</v>
      </c>
      <c r="I12" s="48">
        <v>2.329</v>
      </c>
    </row>
    <row r="13" spans="1:9" ht="18" customHeight="1">
      <c r="A13" s="47">
        <v>21</v>
      </c>
      <c r="B13" s="45" t="s">
        <v>193</v>
      </c>
      <c r="C13" s="48">
        <v>0.72</v>
      </c>
      <c r="D13" s="48">
        <v>0.4105</v>
      </c>
      <c r="E13" s="48">
        <v>0.8</v>
      </c>
      <c r="F13" s="48">
        <v>0.5004</v>
      </c>
      <c r="G13" s="48">
        <v>0.042</v>
      </c>
      <c r="H13" s="48">
        <v>0.0561</v>
      </c>
      <c r="I13" s="48">
        <v>1.847</v>
      </c>
    </row>
    <row r="14" spans="1:9" ht="18" customHeight="1">
      <c r="A14" s="47">
        <v>20</v>
      </c>
      <c r="B14" s="45" t="s">
        <v>193</v>
      </c>
      <c r="C14" s="48">
        <v>0.64</v>
      </c>
      <c r="D14" s="48">
        <v>0.3255</v>
      </c>
      <c r="E14" s="48">
        <v>0.71</v>
      </c>
      <c r="F14" s="48">
        <v>0.4013</v>
      </c>
      <c r="G14" s="48">
        <v>0.053</v>
      </c>
      <c r="H14" s="48">
        <v>0.0708</v>
      </c>
      <c r="I14" s="48">
        <v>1.465</v>
      </c>
    </row>
    <row r="15" spans="1:9" ht="18" customHeight="1">
      <c r="A15" s="47">
        <v>19</v>
      </c>
      <c r="B15" s="45" t="s">
        <v>193</v>
      </c>
      <c r="C15" s="48">
        <v>0.57</v>
      </c>
      <c r="D15" s="48">
        <v>0.2582</v>
      </c>
      <c r="E15" s="48">
        <v>0.64</v>
      </c>
      <c r="F15" s="48">
        <v>0.3221</v>
      </c>
      <c r="G15" s="48">
        <v>0.0668</v>
      </c>
      <c r="H15" s="48">
        <v>0.0892</v>
      </c>
      <c r="I15" s="48">
        <v>1.162</v>
      </c>
    </row>
    <row r="16" spans="1:9" ht="18" customHeight="1">
      <c r="A16" s="47">
        <v>18</v>
      </c>
      <c r="B16" s="45" t="s">
        <v>193</v>
      </c>
      <c r="C16" s="48">
        <v>0.51</v>
      </c>
      <c r="D16" s="48">
        <v>0.2047</v>
      </c>
      <c r="E16" s="48">
        <v>0.57</v>
      </c>
      <c r="F16" s="48">
        <v>0.2586</v>
      </c>
      <c r="G16" s="48">
        <v>0.0842</v>
      </c>
      <c r="H16" s="48">
        <v>0.1125</v>
      </c>
      <c r="I16" s="48">
        <v>0.921</v>
      </c>
    </row>
    <row r="17" spans="1:9" ht="18" customHeight="1">
      <c r="A17" s="47">
        <v>17</v>
      </c>
      <c r="B17" s="45" t="s">
        <v>193</v>
      </c>
      <c r="C17" s="48">
        <v>0.45</v>
      </c>
      <c r="D17" s="48">
        <v>0.1624</v>
      </c>
      <c r="E17" s="48">
        <v>0.51</v>
      </c>
      <c r="F17" s="48">
        <v>0.2078</v>
      </c>
      <c r="G17" s="48">
        <v>0.1062</v>
      </c>
      <c r="H17" s="48">
        <v>0.1419</v>
      </c>
      <c r="I17" s="48">
        <v>0.731</v>
      </c>
    </row>
    <row r="18" spans="1:9" ht="18" customHeight="1">
      <c r="A18" s="47">
        <v>16</v>
      </c>
      <c r="B18" s="45" t="s">
        <v>193</v>
      </c>
      <c r="C18" s="48">
        <v>0.4</v>
      </c>
      <c r="D18" s="48">
        <v>0.1287</v>
      </c>
      <c r="E18" s="48">
        <v>0.46</v>
      </c>
      <c r="F18" s="48">
        <v>0.1671</v>
      </c>
      <c r="G18" s="48">
        <v>0.1339</v>
      </c>
      <c r="H18" s="48">
        <v>0.1789</v>
      </c>
      <c r="I18" s="48">
        <v>0.579</v>
      </c>
    </row>
    <row r="19" spans="1:9" ht="18" customHeight="1">
      <c r="A19" s="47">
        <v>15</v>
      </c>
      <c r="B19" s="45" t="s">
        <v>193</v>
      </c>
      <c r="C19" s="48">
        <v>0.36</v>
      </c>
      <c r="D19" s="48">
        <v>0.1021</v>
      </c>
      <c r="E19" s="48">
        <v>0.41</v>
      </c>
      <c r="F19" s="48">
        <v>0.1344</v>
      </c>
      <c r="G19" s="48">
        <v>0.1689</v>
      </c>
      <c r="H19" s="48">
        <v>0.2256</v>
      </c>
      <c r="I19" s="48">
        <v>0.459</v>
      </c>
    </row>
    <row r="20" spans="1:9" ht="18" customHeight="1">
      <c r="A20" s="47">
        <v>14</v>
      </c>
      <c r="B20" s="45" t="s">
        <v>193</v>
      </c>
      <c r="C20" s="48">
        <v>0.32</v>
      </c>
      <c r="D20" s="48">
        <v>0.081</v>
      </c>
      <c r="E20" s="48">
        <v>0.37</v>
      </c>
      <c r="F20" s="48">
        <v>0.1083</v>
      </c>
      <c r="G20" s="48">
        <v>0.2129</v>
      </c>
      <c r="H20" s="48">
        <v>0.2845</v>
      </c>
      <c r="I20" s="48">
        <v>0.364</v>
      </c>
    </row>
    <row r="21" spans="1:9" ht="18" customHeight="1">
      <c r="A21" s="47">
        <v>13</v>
      </c>
      <c r="B21" s="45" t="s">
        <v>193</v>
      </c>
      <c r="C21" s="48">
        <v>0.29</v>
      </c>
      <c r="D21" s="48">
        <v>0.0624</v>
      </c>
      <c r="E21" s="48">
        <v>0.33</v>
      </c>
      <c r="F21" s="48">
        <v>0.0872</v>
      </c>
      <c r="G21" s="48">
        <v>0.2685</v>
      </c>
      <c r="H21" s="48">
        <v>0.3587</v>
      </c>
      <c r="I21" s="48">
        <v>0.289</v>
      </c>
    </row>
    <row r="22" spans="1:9" ht="18" customHeight="1">
      <c r="A22" s="47">
        <v>12</v>
      </c>
      <c r="B22" s="45" t="s">
        <v>193</v>
      </c>
      <c r="C22" s="48">
        <v>0.25</v>
      </c>
      <c r="D22" s="48">
        <v>0.0509</v>
      </c>
      <c r="E22" s="48">
        <v>0.3</v>
      </c>
      <c r="F22" s="48">
        <v>0.0704</v>
      </c>
      <c r="G22" s="48">
        <v>0.3385</v>
      </c>
      <c r="H22" s="48">
        <v>0.4523</v>
      </c>
      <c r="I22" s="48">
        <v>0.229</v>
      </c>
    </row>
    <row r="23" spans="1:9" ht="18" customHeight="1">
      <c r="A23" s="47">
        <v>11</v>
      </c>
      <c r="B23" s="45" t="s">
        <v>193</v>
      </c>
      <c r="C23" s="48">
        <v>0.23</v>
      </c>
      <c r="D23" s="48">
        <v>0.0404</v>
      </c>
      <c r="E23" s="48">
        <v>0.27</v>
      </c>
      <c r="F23" s="48">
        <v>0.0568</v>
      </c>
      <c r="G23" s="48">
        <v>0.4269</v>
      </c>
      <c r="H23" s="48">
        <v>0.5704</v>
      </c>
      <c r="I23" s="48">
        <v>0.182</v>
      </c>
    </row>
    <row r="24" spans="1:9" ht="18" customHeight="1">
      <c r="A24" s="47">
        <v>10</v>
      </c>
      <c r="B24" s="45" t="s">
        <v>193</v>
      </c>
      <c r="C24" s="48">
        <v>0.2</v>
      </c>
      <c r="D24" s="48">
        <v>0.032</v>
      </c>
      <c r="E24" s="48">
        <v>0.24</v>
      </c>
      <c r="F24" s="48">
        <v>0.0459</v>
      </c>
      <c r="G24" s="48">
        <v>0.5384</v>
      </c>
      <c r="H24" s="48">
        <v>0.7192</v>
      </c>
      <c r="I24" s="48">
        <v>0.144</v>
      </c>
    </row>
    <row r="25" spans="1:9" ht="18" customHeight="1">
      <c r="A25" s="47">
        <v>9</v>
      </c>
      <c r="B25" s="45" t="s">
        <v>193</v>
      </c>
      <c r="C25" s="48">
        <v>0.18</v>
      </c>
      <c r="D25" s="48">
        <v>0.0254</v>
      </c>
      <c r="E25" s="48">
        <v>0.22</v>
      </c>
      <c r="F25" s="48">
        <v>0.0371</v>
      </c>
      <c r="G25" s="48">
        <v>0.6789</v>
      </c>
      <c r="H25" s="48">
        <v>0.907</v>
      </c>
      <c r="I25" s="48">
        <v>0.114</v>
      </c>
    </row>
    <row r="26" spans="1:9" ht="18" customHeight="1">
      <c r="A26" s="47">
        <v>8</v>
      </c>
      <c r="B26" s="45" t="s">
        <v>193</v>
      </c>
      <c r="C26" s="48">
        <v>0.16</v>
      </c>
      <c r="D26" s="48">
        <v>0.0201</v>
      </c>
      <c r="E26" s="48">
        <v>0.2</v>
      </c>
      <c r="F26" s="48">
        <v>0.03</v>
      </c>
      <c r="G26" s="48">
        <v>0.856</v>
      </c>
      <c r="H26" s="48">
        <v>1.1437</v>
      </c>
      <c r="I26" s="48">
        <v>0.091</v>
      </c>
    </row>
    <row r="27" spans="1:9" ht="18" customHeight="1">
      <c r="A27" s="47">
        <v>7</v>
      </c>
      <c r="B27" s="45" t="s">
        <v>193</v>
      </c>
      <c r="C27" s="48">
        <v>0.14</v>
      </c>
      <c r="D27" s="48">
        <v>0.016</v>
      </c>
      <c r="E27" s="48">
        <v>0.18</v>
      </c>
      <c r="F27" s="48">
        <v>0.0243</v>
      </c>
      <c r="G27" s="48">
        <v>1.0795</v>
      </c>
      <c r="H27" s="48">
        <v>1.4422</v>
      </c>
      <c r="I27" s="48">
        <v>0.072</v>
      </c>
    </row>
    <row r="28" spans="1:9" ht="18" customHeight="1">
      <c r="A28" s="47">
        <v>6</v>
      </c>
      <c r="B28" s="45" t="s">
        <v>193</v>
      </c>
      <c r="C28" s="48">
        <v>0.13</v>
      </c>
      <c r="D28" s="48">
        <v>0.0127</v>
      </c>
      <c r="E28" s="48">
        <v>0.16</v>
      </c>
      <c r="F28" s="48">
        <v>0.0197</v>
      </c>
      <c r="G28" s="48">
        <v>1.3612</v>
      </c>
      <c r="H28" s="48">
        <v>1.8186</v>
      </c>
      <c r="I28" s="48">
        <v>0.057</v>
      </c>
    </row>
    <row r="29" spans="1:9" ht="18" customHeight="1">
      <c r="A29" s="47">
        <v>5</v>
      </c>
      <c r="B29" s="45" t="s">
        <v>193</v>
      </c>
      <c r="C29" s="48">
        <v>0.11</v>
      </c>
      <c r="D29" s="48">
        <v>0.01</v>
      </c>
      <c r="E29" s="48">
        <v>0.14</v>
      </c>
      <c r="F29" s="48">
        <v>0.016</v>
      </c>
      <c r="G29" s="48">
        <v>1.7165</v>
      </c>
      <c r="H29" s="48">
        <v>2.2932</v>
      </c>
      <c r="I29" s="48">
        <v>0.045</v>
      </c>
    </row>
    <row r="30" spans="1:9" ht="18" customHeight="1">
      <c r="A30" s="47">
        <v>4</v>
      </c>
      <c r="B30" s="45" t="s">
        <v>193</v>
      </c>
      <c r="C30" s="48">
        <v>0.1</v>
      </c>
      <c r="D30" s="48">
        <v>0.008</v>
      </c>
      <c r="E30" s="48">
        <v>0.13</v>
      </c>
      <c r="F30" s="48">
        <v>0.013</v>
      </c>
      <c r="G30" s="48">
        <v>2.1644</v>
      </c>
      <c r="H30" s="48">
        <v>2.8917</v>
      </c>
      <c r="I30" s="48">
        <v>0.036</v>
      </c>
    </row>
    <row r="31" spans="1:9" ht="18" customHeight="1">
      <c r="A31" s="47">
        <v>3</v>
      </c>
      <c r="B31" s="45" t="s">
        <v>193</v>
      </c>
      <c r="C31" s="48">
        <v>0.09</v>
      </c>
      <c r="D31" s="48">
        <v>0.0063</v>
      </c>
      <c r="E31" s="48">
        <v>0.12</v>
      </c>
      <c r="F31" s="48">
        <v>0.0106</v>
      </c>
      <c r="G31" s="48">
        <v>2.7293</v>
      </c>
      <c r="H31" s="48">
        <v>3.6464</v>
      </c>
      <c r="I31" s="48">
        <v>0.028</v>
      </c>
    </row>
    <row r="32" spans="1:9" ht="18" customHeight="1">
      <c r="A32" s="47">
        <v>2</v>
      </c>
      <c r="B32" s="45" t="s">
        <v>193</v>
      </c>
      <c r="C32" s="48">
        <v>0.08</v>
      </c>
      <c r="D32" s="48">
        <v>0.005</v>
      </c>
      <c r="E32" s="48">
        <v>0.1</v>
      </c>
      <c r="F32" s="48">
        <v>0.0086</v>
      </c>
      <c r="G32" s="48">
        <v>3.4427</v>
      </c>
      <c r="H32" s="48">
        <v>4.5981</v>
      </c>
      <c r="I32" s="48">
        <v>0.023</v>
      </c>
    </row>
    <row r="33" spans="1:9" ht="18" customHeight="1">
      <c r="A33" s="47">
        <v>1</v>
      </c>
      <c r="B33" s="45" t="s">
        <v>193</v>
      </c>
      <c r="C33" s="48">
        <v>0.07</v>
      </c>
      <c r="D33" s="48">
        <v>0.004</v>
      </c>
      <c r="E33" s="48">
        <v>0.09</v>
      </c>
      <c r="F33" s="48">
        <v>0.007</v>
      </c>
      <c r="G33" s="48">
        <v>4.3399</v>
      </c>
      <c r="H33" s="48">
        <v>5.7982</v>
      </c>
      <c r="I33" s="48">
        <v>0.018</v>
      </c>
    </row>
  </sheetData>
  <sheetProtection/>
  <printOptions/>
  <pageMargins left="0.75" right="0.75" top="1" bottom="1" header="0.5" footer="0.5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9">
      <selection activeCell="K34" sqref="K34"/>
    </sheetView>
  </sheetViews>
  <sheetFormatPr defaultColWidth="9.00390625" defaultRowHeight="14.25"/>
  <cols>
    <col min="1" max="8" width="9.75390625" style="3" customWidth="1"/>
    <col min="9" max="16384" width="9.00390625" style="3" customWidth="1"/>
  </cols>
  <sheetData>
    <row r="1" spans="1:9" s="1" customFormat="1" ht="23.25" customHeight="1">
      <c r="A1" s="4" t="s">
        <v>201</v>
      </c>
      <c r="B1" s="4"/>
      <c r="C1" s="4"/>
      <c r="D1" s="4"/>
      <c r="E1" s="4"/>
      <c r="F1" s="4"/>
      <c r="G1" s="4"/>
      <c r="H1" s="4"/>
      <c r="I1" s="4"/>
    </row>
    <row r="2" spans="1:9" ht="14.25">
      <c r="A2" s="5"/>
      <c r="B2" s="6" t="s">
        <v>202</v>
      </c>
      <c r="C2" s="6" t="s">
        <v>203</v>
      </c>
      <c r="D2" s="6"/>
      <c r="E2" s="6" t="s">
        <v>114</v>
      </c>
      <c r="F2" s="6"/>
      <c r="G2" s="6"/>
      <c r="H2" s="6"/>
      <c r="I2" s="38"/>
    </row>
    <row r="3" spans="1:9" ht="14.25">
      <c r="A3" s="7"/>
      <c r="B3" s="8" t="s">
        <v>120</v>
      </c>
      <c r="C3" s="8" t="s">
        <v>88</v>
      </c>
      <c r="D3" s="8"/>
      <c r="E3" s="8" t="s">
        <v>115</v>
      </c>
      <c r="F3" s="8"/>
      <c r="G3" s="8"/>
      <c r="H3" s="8"/>
      <c r="I3" s="39"/>
    </row>
    <row r="4" spans="1:9" ht="14.25">
      <c r="A4" s="7" t="s">
        <v>204</v>
      </c>
      <c r="B4" s="8">
        <f>B5/1000*25.4</f>
        <v>25.4</v>
      </c>
      <c r="C4" s="8">
        <f>C5/1000*25.4</f>
        <v>0.3048</v>
      </c>
      <c r="D4" s="8" t="s">
        <v>204</v>
      </c>
      <c r="E4" s="9">
        <f>E5*35/1000</f>
        <v>0.035</v>
      </c>
      <c r="F4" s="10"/>
      <c r="G4" s="8"/>
      <c r="H4" s="8"/>
      <c r="I4" s="39"/>
    </row>
    <row r="5" spans="1:9" ht="14.25">
      <c r="A5" s="7" t="s">
        <v>205</v>
      </c>
      <c r="B5" s="11">
        <v>1000</v>
      </c>
      <c r="C5" s="11">
        <v>12</v>
      </c>
      <c r="D5" s="8" t="s">
        <v>206</v>
      </c>
      <c r="E5" s="11">
        <v>1</v>
      </c>
      <c r="F5" s="8"/>
      <c r="G5" s="8"/>
      <c r="H5" s="8"/>
      <c r="I5" s="39"/>
    </row>
    <row r="6" spans="1:9" ht="15">
      <c r="A6" s="12" t="s">
        <v>207</v>
      </c>
      <c r="B6" s="13">
        <f>0.2*B4*(LN(2*B4/(C4+E4))+0.2235*(C4+E4)/B4+0.5)</f>
        <v>27.992244735590006</v>
      </c>
      <c r="C6" s="13" t="s">
        <v>121</v>
      </c>
      <c r="D6" s="229" t="s">
        <v>208</v>
      </c>
      <c r="E6" s="15"/>
      <c r="F6" s="15"/>
      <c r="G6" s="15"/>
      <c r="H6" s="15"/>
      <c r="I6" s="40"/>
    </row>
    <row r="7" spans="1:9" s="1" customFormat="1" ht="23.25" customHeight="1">
      <c r="A7" s="4" t="s">
        <v>209</v>
      </c>
      <c r="B7" s="4"/>
      <c r="C7" s="4"/>
      <c r="D7" s="4"/>
      <c r="E7" s="4"/>
      <c r="F7" s="4"/>
      <c r="G7" s="4"/>
      <c r="H7" s="4"/>
      <c r="I7" s="4"/>
    </row>
    <row r="8" spans="1:9" ht="14.25">
      <c r="A8" s="5"/>
      <c r="B8" s="6" t="s">
        <v>210</v>
      </c>
      <c r="C8" s="6" t="s">
        <v>211</v>
      </c>
      <c r="D8" s="6"/>
      <c r="E8" s="6"/>
      <c r="F8" s="6"/>
      <c r="G8" s="6"/>
      <c r="H8" s="6"/>
      <c r="I8" s="38"/>
    </row>
    <row r="9" spans="1:9" ht="14.25">
      <c r="A9" s="7"/>
      <c r="B9" s="8" t="s">
        <v>212</v>
      </c>
      <c r="C9" s="8" t="s">
        <v>213</v>
      </c>
      <c r="D9" s="8"/>
      <c r="E9" s="8"/>
      <c r="F9" s="8"/>
      <c r="G9" s="8"/>
      <c r="H9" s="8"/>
      <c r="I9" s="39"/>
    </row>
    <row r="10" spans="1:9" ht="14.25">
      <c r="A10" s="8" t="s">
        <v>204</v>
      </c>
      <c r="B10" s="16">
        <v>1.6</v>
      </c>
      <c r="C10" s="16">
        <v>0.5</v>
      </c>
      <c r="D10" s="10"/>
      <c r="E10" s="10"/>
      <c r="F10" s="8"/>
      <c r="G10" s="8"/>
      <c r="H10" s="8"/>
      <c r="I10" s="39"/>
    </row>
    <row r="11" spans="1:9" ht="14.25">
      <c r="A11" s="8" t="s">
        <v>214</v>
      </c>
      <c r="B11" s="10">
        <f>B10/25.4</f>
        <v>0.06299212598425198</v>
      </c>
      <c r="C11" s="10">
        <f>C10/25.4</f>
        <v>0.01968503937007874</v>
      </c>
      <c r="D11" s="10"/>
      <c r="E11" s="10"/>
      <c r="F11" s="8"/>
      <c r="G11" s="8"/>
      <c r="H11" s="8"/>
      <c r="I11" s="39"/>
    </row>
    <row r="12" spans="1:9" ht="15">
      <c r="A12" s="12" t="s">
        <v>215</v>
      </c>
      <c r="B12" s="13">
        <f>5.08*B11*(LN(4*B11/C11)+1)</f>
        <v>1.1358224546961833</v>
      </c>
      <c r="C12" s="13" t="s">
        <v>121</v>
      </c>
      <c r="D12" s="229" t="s">
        <v>216</v>
      </c>
      <c r="E12" s="15"/>
      <c r="F12" s="15"/>
      <c r="G12" s="15"/>
      <c r="H12" s="15"/>
      <c r="I12" s="40"/>
    </row>
    <row r="13" spans="1:9" s="1" customFormat="1" ht="23.25" customHeight="1">
      <c r="A13" s="4" t="s">
        <v>217</v>
      </c>
      <c r="B13" s="4"/>
      <c r="C13" s="4"/>
      <c r="D13" s="4"/>
      <c r="E13" s="4"/>
      <c r="F13" s="4"/>
      <c r="G13" s="4"/>
      <c r="H13" s="4"/>
      <c r="I13" s="4"/>
    </row>
    <row r="14" spans="1:9" s="2" customFormat="1" ht="28.5">
      <c r="A14" s="17"/>
      <c r="B14" s="18" t="s">
        <v>218</v>
      </c>
      <c r="C14" s="18" t="s">
        <v>219</v>
      </c>
      <c r="D14" s="18" t="s">
        <v>220</v>
      </c>
      <c r="E14" s="19" t="s">
        <v>221</v>
      </c>
      <c r="F14" s="20"/>
      <c r="G14" s="18" t="s">
        <v>218</v>
      </c>
      <c r="H14" s="18"/>
      <c r="I14" s="41"/>
    </row>
    <row r="15" spans="1:9" s="2" customFormat="1" ht="14.25">
      <c r="A15" s="21"/>
      <c r="B15" s="10" t="s">
        <v>222</v>
      </c>
      <c r="C15" s="10" t="s">
        <v>20</v>
      </c>
      <c r="D15" s="10" t="s">
        <v>223</v>
      </c>
      <c r="E15" s="22" t="s">
        <v>224</v>
      </c>
      <c r="F15" s="23"/>
      <c r="G15" s="10" t="s">
        <v>222</v>
      </c>
      <c r="H15" s="10"/>
      <c r="I15" s="42"/>
    </row>
    <row r="16" spans="1:9" s="2" customFormat="1" ht="14.25">
      <c r="A16" s="10" t="s">
        <v>204</v>
      </c>
      <c r="B16" s="10" t="s">
        <v>204</v>
      </c>
      <c r="C16" s="11">
        <v>1.6</v>
      </c>
      <c r="D16" s="10">
        <f>D17*25.4</f>
        <v>1.27</v>
      </c>
      <c r="E16" s="22">
        <f>E17*25.4</f>
        <v>1.651</v>
      </c>
      <c r="F16" s="23"/>
      <c r="G16" s="16">
        <v>4.4</v>
      </c>
      <c r="H16" s="10"/>
      <c r="I16" s="42"/>
    </row>
    <row r="17" spans="1:9" s="2" customFormat="1" ht="14.25">
      <c r="A17" s="10" t="s">
        <v>214</v>
      </c>
      <c r="B17" s="10" t="s">
        <v>214</v>
      </c>
      <c r="C17" s="10">
        <f>C16/25.4</f>
        <v>0.06299212598425198</v>
      </c>
      <c r="D17" s="11">
        <v>0.05</v>
      </c>
      <c r="E17" s="24">
        <v>0.065</v>
      </c>
      <c r="F17" s="25"/>
      <c r="G17" s="10"/>
      <c r="H17" s="10"/>
      <c r="I17" s="42"/>
    </row>
    <row r="18" spans="1:9" s="2" customFormat="1" ht="15">
      <c r="A18" s="26" t="s">
        <v>225</v>
      </c>
      <c r="B18" s="27">
        <f>1.41*G16*C17*D17/(E17-D17)</f>
        <v>1.302677165354331</v>
      </c>
      <c r="C18" s="27" t="s">
        <v>226</v>
      </c>
      <c r="D18" s="230" t="s">
        <v>227</v>
      </c>
      <c r="E18" s="29"/>
      <c r="F18" s="29"/>
      <c r="G18" s="29"/>
      <c r="H18" s="29"/>
      <c r="I18" s="43"/>
    </row>
    <row r="19" spans="1:10" s="1" customFormat="1" ht="23.25" customHeight="1">
      <c r="A19" s="30" t="s">
        <v>228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4.25">
      <c r="A20" s="31" t="s">
        <v>229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4.25" customHeight="1">
      <c r="A21" s="32" t="s">
        <v>110</v>
      </c>
      <c r="B21" s="32"/>
      <c r="C21" s="33" t="s">
        <v>230</v>
      </c>
      <c r="D21" s="34" t="s">
        <v>231</v>
      </c>
      <c r="E21" s="33" t="s">
        <v>232</v>
      </c>
      <c r="F21" s="34" t="s">
        <v>233</v>
      </c>
      <c r="G21" s="33" t="s">
        <v>234</v>
      </c>
      <c r="H21" s="34" t="s">
        <v>235</v>
      </c>
      <c r="I21" s="33" t="s">
        <v>236</v>
      </c>
      <c r="J21" s="34" t="s">
        <v>237</v>
      </c>
    </row>
    <row r="22" spans="1:10" ht="14.25">
      <c r="A22" s="32"/>
      <c r="B22" s="32"/>
      <c r="C22" s="8"/>
      <c r="D22" s="35"/>
      <c r="E22" s="8"/>
      <c r="F22" s="35"/>
      <c r="G22" s="8"/>
      <c r="H22" s="35"/>
      <c r="I22" s="8"/>
      <c r="J22" s="35"/>
    </row>
    <row r="23" spans="1:10" ht="14.25">
      <c r="A23" s="35" t="s">
        <v>204</v>
      </c>
      <c r="B23" s="35" t="s">
        <v>214</v>
      </c>
      <c r="C23" s="8" t="s">
        <v>238</v>
      </c>
      <c r="D23" s="35" t="s">
        <v>238</v>
      </c>
      <c r="E23" s="8" t="s">
        <v>238</v>
      </c>
      <c r="F23" s="35" t="s">
        <v>238</v>
      </c>
      <c r="G23" s="8" t="s">
        <v>238</v>
      </c>
      <c r="H23" s="35" t="s">
        <v>238</v>
      </c>
      <c r="I23" s="8" t="s">
        <v>238</v>
      </c>
      <c r="J23" s="35" t="s">
        <v>238</v>
      </c>
    </row>
    <row r="24" spans="1:10" ht="14.25">
      <c r="A24" s="35">
        <v>10</v>
      </c>
      <c r="B24" s="36">
        <f>A24/25.4</f>
        <v>0.3937007874015748</v>
      </c>
      <c r="C24" s="37">
        <f>0.2*$A24*(LN(2*$A24/0.3398)+0.2235*0.3398/$A24+0.5)</f>
        <v>9.165449746596595</v>
      </c>
      <c r="D24" s="36">
        <f>0.2*$A24*(LN(2*$A24/0.797)+0.2235*0.797/$A24+0.5)</f>
        <v>7.480891647491826</v>
      </c>
      <c r="E24" s="37">
        <f>0.2*$A24*(LN(2*$A24/1.305)+0.2235*1.305/$A24+0.5)</f>
        <v>6.5173919655586685</v>
      </c>
      <c r="F24" s="36">
        <f>0.2*$A24*(LN(2*$A24/2.575)+0.2235*2.575/$A24+0.5)</f>
        <v>5.214867978876582</v>
      </c>
      <c r="G24" s="37">
        <f>0.2*$A24*(LN(2*$A24/5.115)+0.2235*5.115/$A24+0.5)</f>
        <v>3.9557502483008027</v>
      </c>
      <c r="H24" s="36">
        <f>0.2*$A24*(LN(2*$A24/7.655)+0.2235*7.655/$A24+0.5)</f>
        <v>3.2629249888886878</v>
      </c>
      <c r="I24" s="37">
        <f>0.2*$A24*(LN(2*$A24/12.735)+0.2235*12.735/$A24+0.5)</f>
        <v>2.472010830245141</v>
      </c>
      <c r="J24" s="36">
        <f>0.2*$A24*(LN(2*$A24/20.355)+0.2235*20.355/$A24+0.5)</f>
        <v>1.8746798831980975</v>
      </c>
    </row>
    <row r="25" spans="1:10" ht="14.25">
      <c r="A25" s="35">
        <v>20</v>
      </c>
      <c r="B25" s="36">
        <f aca="true" t="shared" si="0" ref="B25:B66">A25/25.4</f>
        <v>0.7874015748031497</v>
      </c>
      <c r="C25" s="37">
        <f aca="true" t="shared" si="1" ref="C25:C66">0.2*$A25*(LN(2*$A25/0.3398)+0.2235*0.3398/$A25+0.5)</f>
        <v>21.088299155432967</v>
      </c>
      <c r="D25" s="36">
        <f aca="true" t="shared" si="2" ref="D25:D66">0.2*$A25*(LN(2*$A25/0.797)+0.2235*0.797/$A25+0.5)</f>
        <v>17.698746117223433</v>
      </c>
      <c r="E25" s="37">
        <f aca="true" t="shared" si="3" ref="E25:E66">0.2*$A25*(LN(2*$A25/1.305)+0.2235*1.305/$A25+0.5)</f>
        <v>15.749039153357119</v>
      </c>
      <c r="F25" s="36">
        <f aca="true" t="shared" si="4" ref="F25:F66">0.2*$A25*(LN(2*$A25/2.575)+0.2235*2.575/$A25+0.5)</f>
        <v>13.087222179992947</v>
      </c>
      <c r="G25" s="37">
        <f aca="true" t="shared" si="5" ref="G25:G66">0.2*$A25*(LN(2*$A25/5.115)+0.2235*5.115/$A25+0.5)</f>
        <v>10.455448718841385</v>
      </c>
      <c r="H25" s="36">
        <f aca="true" t="shared" si="6" ref="H25:H66">0.2*$A25*(LN(2*$A25/7.655)+0.2235*7.655/$A25+0.5)</f>
        <v>8.956260200017155</v>
      </c>
      <c r="I25" s="37">
        <f aca="true" t="shared" si="7" ref="I25:I66">0.2*$A25*(LN(2*$A25/12.735)+0.2235*12.735/$A25+0.5)</f>
        <v>7.147355882730064</v>
      </c>
      <c r="J25" s="36">
        <f aca="true" t="shared" si="8" ref="J25:J66">0.2*$A25*(LN(2*$A25/20.355)+0.2235*20.355/$A25+0.5)</f>
        <v>5.612079988635976</v>
      </c>
    </row>
    <row r="26" spans="1:10" ht="14.25">
      <c r="A26" s="35">
        <v>30</v>
      </c>
      <c r="B26" s="36">
        <f t="shared" si="0"/>
        <v>1.1811023622047245</v>
      </c>
      <c r="C26" s="37">
        <f t="shared" si="1"/>
        <v>34.057644851798436</v>
      </c>
      <c r="D26" s="36">
        <f t="shared" si="2"/>
        <v>28.963096874484137</v>
      </c>
      <c r="E26" s="37">
        <f t="shared" si="3"/>
        <v>26.02718262868466</v>
      </c>
      <c r="F26" s="36">
        <f t="shared" si="4"/>
        <v>22.006072668638403</v>
      </c>
      <c r="G26" s="37">
        <f t="shared" si="5"/>
        <v>18.001643476911067</v>
      </c>
      <c r="H26" s="36">
        <f t="shared" si="6"/>
        <v>15.69609169867472</v>
      </c>
      <c r="I26" s="37">
        <f t="shared" si="7"/>
        <v>12.869197222744084</v>
      </c>
      <c r="J26" s="36">
        <f t="shared" si="8"/>
        <v>10.395976381602953</v>
      </c>
    </row>
    <row r="27" spans="1:10" ht="14.25">
      <c r="A27" s="35">
        <v>40</v>
      </c>
      <c r="B27" s="36">
        <f t="shared" si="0"/>
        <v>1.5748031496062993</v>
      </c>
      <c r="C27" s="37">
        <f t="shared" si="1"/>
        <v>47.70658669534549</v>
      </c>
      <c r="D27" s="36">
        <f t="shared" si="2"/>
        <v>40.90704377892643</v>
      </c>
      <c r="E27" s="37">
        <f t="shared" si="3"/>
        <v>36.98492225119381</v>
      </c>
      <c r="F27" s="36">
        <f t="shared" si="4"/>
        <v>31.60451930446546</v>
      </c>
      <c r="G27" s="37">
        <f t="shared" si="5"/>
        <v>26.227434382162336</v>
      </c>
      <c r="H27" s="36">
        <f t="shared" si="6"/>
        <v>23.115519344513874</v>
      </c>
      <c r="I27" s="37">
        <f t="shared" si="7"/>
        <v>19.270634709939692</v>
      </c>
      <c r="J27" s="36">
        <f t="shared" si="8"/>
        <v>15.859468921751516</v>
      </c>
    </row>
    <row r="28" spans="1:10" ht="14.25">
      <c r="A28" s="35">
        <v>50</v>
      </c>
      <c r="B28" s="36">
        <f t="shared" si="0"/>
        <v>1.968503937007874</v>
      </c>
      <c r="C28" s="37">
        <f t="shared" si="1"/>
        <v>61.860871617323966</v>
      </c>
      <c r="D28" s="36">
        <f t="shared" si="2"/>
        <v>53.35633376180013</v>
      </c>
      <c r="E28" s="37">
        <f t="shared" si="3"/>
        <v>48.44800495213434</v>
      </c>
      <c r="F28" s="36">
        <f t="shared" si="4"/>
        <v>41.708309018723924</v>
      </c>
      <c r="G28" s="37">
        <f t="shared" si="5"/>
        <v>34.95856836584502</v>
      </c>
      <c r="H28" s="36">
        <f t="shared" si="6"/>
        <v>31.040290068784447</v>
      </c>
      <c r="I28" s="37">
        <f t="shared" si="7"/>
        <v>26.17741527556671</v>
      </c>
      <c r="J28" s="36">
        <f t="shared" si="8"/>
        <v>21.828304540331487</v>
      </c>
    </row>
    <row r="29" spans="1:10" ht="14.25">
      <c r="A29" s="35">
        <v>60</v>
      </c>
      <c r="B29" s="36">
        <f t="shared" si="0"/>
        <v>2.362204724409449</v>
      </c>
      <c r="C29" s="37">
        <f t="shared" si="1"/>
        <v>76.41786681031623</v>
      </c>
      <c r="D29" s="36">
        <f t="shared" si="2"/>
        <v>66.20833401568763</v>
      </c>
      <c r="E29" s="37">
        <f t="shared" si="3"/>
        <v>60.31379792408867</v>
      </c>
      <c r="F29" s="36">
        <f t="shared" si="4"/>
        <v>52.21480900399616</v>
      </c>
      <c r="G29" s="37">
        <f t="shared" si="5"/>
        <v>44.09241262054148</v>
      </c>
      <c r="H29" s="36">
        <f t="shared" si="6"/>
        <v>39.36777106406879</v>
      </c>
      <c r="I29" s="37">
        <f t="shared" si="7"/>
        <v>33.48690611220751</v>
      </c>
      <c r="J29" s="36">
        <f t="shared" si="8"/>
        <v>28.19985042992525</v>
      </c>
    </row>
    <row r="30" spans="1:10" ht="14.25">
      <c r="A30" s="35">
        <v>70</v>
      </c>
      <c r="B30" s="36">
        <f t="shared" si="0"/>
        <v>2.7559055118110236</v>
      </c>
      <c r="C30" s="37">
        <f t="shared" si="1"/>
        <v>91.30975595295054</v>
      </c>
      <c r="D30" s="36">
        <f t="shared" si="2"/>
        <v>79.39522821921717</v>
      </c>
      <c r="E30" s="37">
        <f t="shared" si="3"/>
        <v>72.51448484568508</v>
      </c>
      <c r="F30" s="36">
        <f t="shared" si="4"/>
        <v>63.056202938910474</v>
      </c>
      <c r="G30" s="37">
        <f t="shared" si="5"/>
        <v>53.56115082488</v>
      </c>
      <c r="H30" s="36">
        <f t="shared" si="6"/>
        <v>48.030146008995196</v>
      </c>
      <c r="I30" s="37">
        <f t="shared" si="7"/>
        <v>41.13129089849038</v>
      </c>
      <c r="J30" s="36">
        <f t="shared" si="8"/>
        <v>34.90629026916107</v>
      </c>
    </row>
    <row r="31" spans="1:10" ht="14.25">
      <c r="A31" s="35">
        <v>80</v>
      </c>
      <c r="B31" s="36">
        <f t="shared" si="0"/>
        <v>3.1496062992125986</v>
      </c>
      <c r="C31" s="37">
        <f t="shared" si="1"/>
        <v>106.48833921965011</v>
      </c>
      <c r="D31" s="36">
        <f t="shared" si="2"/>
        <v>92.86881654681198</v>
      </c>
      <c r="E31" s="37">
        <f t="shared" si="3"/>
        <v>85.00186589134672</v>
      </c>
      <c r="F31" s="36">
        <f t="shared" si="4"/>
        <v>74.18429099789005</v>
      </c>
      <c r="G31" s="37">
        <f t="shared" si="5"/>
        <v>63.316583153283794</v>
      </c>
      <c r="H31" s="36">
        <f t="shared" si="6"/>
        <v>56.97921507798688</v>
      </c>
      <c r="I31" s="37">
        <f t="shared" si="7"/>
        <v>49.062369808838504</v>
      </c>
      <c r="J31" s="36">
        <f t="shared" si="8"/>
        <v>41.89942423246216</v>
      </c>
    </row>
    <row r="32" spans="1:10" ht="14.25">
      <c r="A32" s="35">
        <v>90</v>
      </c>
      <c r="B32" s="36">
        <f t="shared" si="0"/>
        <v>3.5433070866141736</v>
      </c>
      <c r="C32" s="37">
        <f t="shared" si="1"/>
        <v>121.91757763142128</v>
      </c>
      <c r="D32" s="36">
        <f t="shared" si="2"/>
        <v>106.59306001947839</v>
      </c>
      <c r="E32" s="37">
        <f t="shared" si="3"/>
        <v>97.73990208207996</v>
      </c>
      <c r="F32" s="36">
        <f t="shared" si="4"/>
        <v>85.56303420194119</v>
      </c>
      <c r="G32" s="37">
        <f t="shared" si="5"/>
        <v>73.32267062675918</v>
      </c>
      <c r="H32" s="36">
        <f t="shared" si="6"/>
        <v>66.17893929205013</v>
      </c>
      <c r="I32" s="37">
        <f t="shared" si="7"/>
        <v>57.244103864258214</v>
      </c>
      <c r="J32" s="36">
        <f t="shared" si="8"/>
        <v>49.143213340834826</v>
      </c>
    </row>
    <row r="33" spans="1:10" ht="14.25">
      <c r="A33" s="35">
        <v>100</v>
      </c>
      <c r="B33" s="36">
        <f t="shared" si="0"/>
        <v>3.937007874015748</v>
      </c>
      <c r="C33" s="37">
        <f t="shared" si="1"/>
        <v>137.56949778584683</v>
      </c>
      <c r="D33" s="36">
        <f t="shared" si="2"/>
        <v>120.53998523479918</v>
      </c>
      <c r="E33" s="37">
        <f t="shared" si="3"/>
        <v>110.7006200154676</v>
      </c>
      <c r="F33" s="36">
        <f t="shared" si="4"/>
        <v>97.16445914864676</v>
      </c>
      <c r="G33" s="37">
        <f t="shared" si="5"/>
        <v>83.55143984288894</v>
      </c>
      <c r="H33" s="36">
        <f t="shared" si="6"/>
        <v>75.6013452487678</v>
      </c>
      <c r="I33" s="37">
        <f t="shared" si="7"/>
        <v>65.64851966233233</v>
      </c>
      <c r="J33" s="36">
        <f t="shared" si="8"/>
        <v>56.609684191861895</v>
      </c>
    </row>
    <row r="34" spans="1:10" ht="14.25">
      <c r="A34" s="35">
        <v>110</v>
      </c>
      <c r="B34" s="36">
        <f t="shared" si="0"/>
        <v>4.330708661417323</v>
      </c>
      <c r="C34" s="37">
        <f t="shared" si="1"/>
        <v>153.4217526141267</v>
      </c>
      <c r="D34" s="36">
        <f t="shared" si="2"/>
        <v>134.68724512397424</v>
      </c>
      <c r="E34" s="37">
        <f t="shared" si="3"/>
        <v>123.8616726227095</v>
      </c>
      <c r="F34" s="36">
        <f t="shared" si="4"/>
        <v>108.96621876920656</v>
      </c>
      <c r="G34" s="37">
        <f t="shared" si="5"/>
        <v>93.98054373287297</v>
      </c>
      <c r="H34" s="36">
        <f t="shared" si="6"/>
        <v>85.22408587933971</v>
      </c>
      <c r="I34" s="37">
        <f t="shared" si="7"/>
        <v>74.2532701342607</v>
      </c>
      <c r="J34" s="36">
        <f t="shared" si="8"/>
        <v>64.27648971674323</v>
      </c>
    </row>
    <row r="35" spans="1:10" ht="14.25">
      <c r="A35" s="35">
        <v>120</v>
      </c>
      <c r="B35" s="36">
        <f t="shared" si="0"/>
        <v>4.724409448818898</v>
      </c>
      <c r="C35" s="37">
        <f t="shared" si="1"/>
        <v>169.45607689407115</v>
      </c>
      <c r="D35" s="36">
        <f t="shared" si="2"/>
        <v>149.0165744648139</v>
      </c>
      <c r="E35" s="37">
        <f t="shared" si="3"/>
        <v>137.20479468161602</v>
      </c>
      <c r="F35" s="36">
        <f t="shared" si="4"/>
        <v>120.950047841431</v>
      </c>
      <c r="G35" s="37">
        <f t="shared" si="5"/>
        <v>104.59171707452164</v>
      </c>
      <c r="H35" s="36">
        <f t="shared" si="6"/>
        <v>95.02889596157625</v>
      </c>
      <c r="I35" s="37">
        <f t="shared" si="7"/>
        <v>83.0400900578537</v>
      </c>
      <c r="J35" s="36">
        <f t="shared" si="8"/>
        <v>72.12536469328917</v>
      </c>
    </row>
    <row r="36" spans="1:10" ht="14.25">
      <c r="A36" s="35">
        <v>130</v>
      </c>
      <c r="B36" s="36">
        <f t="shared" si="0"/>
        <v>5.118110236220473</v>
      </c>
      <c r="C36" s="37">
        <f t="shared" si="1"/>
        <v>185.6572612797557</v>
      </c>
      <c r="D36" s="36">
        <f t="shared" si="2"/>
        <v>163.51276391139368</v>
      </c>
      <c r="E36" s="37">
        <f t="shared" si="3"/>
        <v>150.71477684626265</v>
      </c>
      <c r="F36" s="36">
        <f t="shared" si="4"/>
        <v>133.10073701939555</v>
      </c>
      <c r="G36" s="37">
        <f t="shared" si="5"/>
        <v>115.36975052191039</v>
      </c>
      <c r="H36" s="36">
        <f t="shared" si="6"/>
        <v>105.0005661495529</v>
      </c>
      <c r="I36" s="37">
        <f t="shared" si="7"/>
        <v>91.9937700871868</v>
      </c>
      <c r="J36" s="36">
        <f t="shared" si="8"/>
        <v>80.14109977557523</v>
      </c>
    </row>
    <row r="37" spans="1:10" ht="14.25">
      <c r="A37" s="35">
        <v>140</v>
      </c>
      <c r="B37" s="36">
        <f t="shared" si="0"/>
        <v>5.511811023622047</v>
      </c>
      <c r="C37" s="37">
        <f t="shared" si="1"/>
        <v>202.01244390157956</v>
      </c>
      <c r="D37" s="36">
        <f t="shared" si="2"/>
        <v>178.1629515941128</v>
      </c>
      <c r="E37" s="37">
        <f t="shared" si="3"/>
        <v>164.37875724704858</v>
      </c>
      <c r="F37" s="36">
        <f t="shared" si="4"/>
        <v>145.4054244334994</v>
      </c>
      <c r="G37" s="37">
        <f t="shared" si="5"/>
        <v>126.3017822054385</v>
      </c>
      <c r="H37" s="36">
        <f t="shared" si="6"/>
        <v>115.12623457366885</v>
      </c>
      <c r="I37" s="37">
        <f t="shared" si="7"/>
        <v>101.10144835265922</v>
      </c>
      <c r="J37" s="36">
        <f t="shared" si="8"/>
        <v>88.3108330940006</v>
      </c>
    </row>
    <row r="38" spans="1:10" ht="14.25">
      <c r="A38" s="35">
        <v>150</v>
      </c>
      <c r="B38" s="36">
        <f t="shared" si="0"/>
        <v>5.905511811023622</v>
      </c>
      <c r="C38" s="37">
        <f t="shared" si="1"/>
        <v>218.51060539201518</v>
      </c>
      <c r="D38" s="36">
        <f t="shared" si="2"/>
        <v>192.95611814544367</v>
      </c>
      <c r="E38" s="37">
        <f t="shared" si="3"/>
        <v>178.18571651644632</v>
      </c>
      <c r="F38" s="36">
        <f t="shared" si="4"/>
        <v>157.85309071621504</v>
      </c>
      <c r="G38" s="37">
        <f t="shared" si="5"/>
        <v>137.37679275757833</v>
      </c>
      <c r="H38" s="36">
        <f t="shared" si="6"/>
        <v>125.3948818663966</v>
      </c>
      <c r="I38" s="37">
        <f t="shared" si="7"/>
        <v>110.35210548674341</v>
      </c>
      <c r="J38" s="36">
        <f t="shared" si="8"/>
        <v>96.62354528103778</v>
      </c>
    </row>
    <row r="39" spans="1:10" ht="14.25">
      <c r="A39" s="35">
        <v>160</v>
      </c>
      <c r="B39" s="36">
        <f t="shared" si="0"/>
        <v>6.299212598425197</v>
      </c>
      <c r="C39" s="37">
        <f t="shared" si="1"/>
        <v>235.1421991572185</v>
      </c>
      <c r="D39" s="36">
        <f t="shared" si="2"/>
        <v>207.88271697154224</v>
      </c>
      <c r="E39" s="37">
        <f t="shared" si="3"/>
        <v>192.1261080606117</v>
      </c>
      <c r="F39" s="36">
        <f t="shared" si="4"/>
        <v>170.43418927369834</v>
      </c>
      <c r="G39" s="37">
        <f t="shared" si="5"/>
        <v>148.58523558448584</v>
      </c>
      <c r="H39" s="36">
        <f t="shared" si="6"/>
        <v>135.796961433892</v>
      </c>
      <c r="I39" s="37">
        <f t="shared" si="7"/>
        <v>119.73619489559526</v>
      </c>
      <c r="J39" s="36">
        <f t="shared" si="8"/>
        <v>105.06968974284257</v>
      </c>
    </row>
    <row r="40" spans="1:10" ht="14.25">
      <c r="A40" s="35">
        <v>170</v>
      </c>
      <c r="B40" s="36">
        <f t="shared" si="0"/>
        <v>6.692913385826772</v>
      </c>
      <c r="C40" s="37">
        <f t="shared" si="1"/>
        <v>251.89887443005344</v>
      </c>
      <c r="D40" s="36">
        <f t="shared" si="2"/>
        <v>222.9343973052724</v>
      </c>
      <c r="E40" s="37">
        <f t="shared" si="3"/>
        <v>206.1915811124087</v>
      </c>
      <c r="F40" s="36">
        <f t="shared" si="4"/>
        <v>183.1403693388133</v>
      </c>
      <c r="G40" s="37">
        <f t="shared" si="5"/>
        <v>159.918759919025</v>
      </c>
      <c r="H40" s="36">
        <f t="shared" si="6"/>
        <v>146.32412250901902</v>
      </c>
      <c r="I40" s="37">
        <f t="shared" si="7"/>
        <v>129.24536581207875</v>
      </c>
      <c r="J40" s="36">
        <f t="shared" si="8"/>
        <v>113.64091571227901</v>
      </c>
    </row>
    <row r="41" spans="1:10" ht="14.25">
      <c r="A41" s="35">
        <v>180</v>
      </c>
      <c r="B41" s="36">
        <f t="shared" si="0"/>
        <v>7.086614173228347</v>
      </c>
      <c r="C41" s="37">
        <f t="shared" si="1"/>
        <v>268.7732647030006</v>
      </c>
      <c r="D41" s="36">
        <f t="shared" si="2"/>
        <v>238.10379263911483</v>
      </c>
      <c r="E41" s="37">
        <f t="shared" si="3"/>
        <v>220.37476916431797</v>
      </c>
      <c r="F41" s="36">
        <f t="shared" si="4"/>
        <v>195.96426440404042</v>
      </c>
      <c r="G41" s="37">
        <f t="shared" si="5"/>
        <v>171.36999925367638</v>
      </c>
      <c r="H41" s="36">
        <f t="shared" si="6"/>
        <v>156.96899858425832</v>
      </c>
      <c r="I41" s="37">
        <f t="shared" si="7"/>
        <v>138.87225172867448</v>
      </c>
      <c r="J41" s="36">
        <f t="shared" si="8"/>
        <v>122.32985668182768</v>
      </c>
    </row>
    <row r="42" spans="1:10" ht="14.25">
      <c r="A42" s="35">
        <v>190</v>
      </c>
      <c r="B42" s="36">
        <f t="shared" si="0"/>
        <v>7.480314960629921</v>
      </c>
      <c r="C42" s="37">
        <f t="shared" si="1"/>
        <v>285.75882331366</v>
      </c>
      <c r="D42" s="36">
        <f t="shared" si="2"/>
        <v>253.38435631066943</v>
      </c>
      <c r="E42" s="37">
        <f t="shared" si="3"/>
        <v>234.66912555393947</v>
      </c>
      <c r="F42" s="36">
        <f t="shared" si="4"/>
        <v>208.8993278069798</v>
      </c>
      <c r="G42" s="37">
        <f t="shared" si="5"/>
        <v>182.93240692604</v>
      </c>
      <c r="H42" s="36">
        <f t="shared" si="6"/>
        <v>167.7250429972098</v>
      </c>
      <c r="I42" s="37">
        <f t="shared" si="7"/>
        <v>148.61030598298242</v>
      </c>
      <c r="J42" s="36">
        <f t="shared" si="8"/>
        <v>131.1299659890886</v>
      </c>
    </row>
    <row r="43" spans="1:10" ht="14.25">
      <c r="A43" s="35">
        <v>200</v>
      </c>
      <c r="B43" s="36">
        <f t="shared" si="0"/>
        <v>7.874015748031496</v>
      </c>
      <c r="C43" s="37">
        <f t="shared" si="1"/>
        <v>302.8496937340915</v>
      </c>
      <c r="D43" s="36">
        <f t="shared" si="2"/>
        <v>268.7702317919962</v>
      </c>
      <c r="E43" s="37">
        <f t="shared" si="3"/>
        <v>249.068793753333</v>
      </c>
      <c r="F43" s="36">
        <f t="shared" si="4"/>
        <v>221.9397030196913</v>
      </c>
      <c r="G43" s="37">
        <f t="shared" si="5"/>
        <v>194.60012640817567</v>
      </c>
      <c r="H43" s="36">
        <f t="shared" si="6"/>
        <v>178.58639921993336</v>
      </c>
      <c r="I43" s="37">
        <f t="shared" si="7"/>
        <v>158.45367204706247</v>
      </c>
      <c r="J43" s="36">
        <f t="shared" si="8"/>
        <v>140.0353871061216</v>
      </c>
    </row>
    <row r="44" spans="1:10" ht="14.25">
      <c r="A44" s="35">
        <v>210</v>
      </c>
      <c r="B44" s="36">
        <f t="shared" si="0"/>
        <v>8.267716535433072</v>
      </c>
      <c r="C44" s="37">
        <f t="shared" si="1"/>
        <v>320.04060586291223</v>
      </c>
      <c r="D44" s="36">
        <f t="shared" si="2"/>
        <v>284.25614898171216</v>
      </c>
      <c r="E44" s="37">
        <f t="shared" si="3"/>
        <v>263.5685036611158</v>
      </c>
      <c r="F44" s="36">
        <f t="shared" si="4"/>
        <v>235.080119940792</v>
      </c>
      <c r="G44" s="37">
        <f t="shared" si="5"/>
        <v>206.3678875987006</v>
      </c>
      <c r="H44" s="36">
        <f t="shared" si="6"/>
        <v>189.5477971510462</v>
      </c>
      <c r="I44" s="37">
        <f t="shared" si="7"/>
        <v>168.39707981953174</v>
      </c>
      <c r="J44" s="36">
        <f t="shared" si="8"/>
        <v>149.04084993154382</v>
      </c>
    </row>
    <row r="45" spans="1:10" ht="14.25">
      <c r="A45" s="35">
        <v>220</v>
      </c>
      <c r="B45" s="36">
        <f t="shared" si="0"/>
        <v>8.661417322834646</v>
      </c>
      <c r="C45" s="37">
        <f t="shared" si="1"/>
        <v>337.326792112891</v>
      </c>
      <c r="D45" s="36">
        <f t="shared" si="2"/>
        <v>299.8373402925861</v>
      </c>
      <c r="E45" s="37">
        <f t="shared" si="3"/>
        <v>278.1634876900566</v>
      </c>
      <c r="F45" s="36">
        <f t="shared" si="4"/>
        <v>248.3158109830507</v>
      </c>
      <c r="G45" s="37">
        <f t="shared" si="5"/>
        <v>218.23092291038355</v>
      </c>
      <c r="H45" s="36">
        <f t="shared" si="6"/>
        <v>200.60446920331702</v>
      </c>
      <c r="I45" s="37">
        <f t="shared" si="7"/>
        <v>178.435761713159</v>
      </c>
      <c r="J45" s="36">
        <f t="shared" si="8"/>
        <v>158.14158687812403</v>
      </c>
    </row>
    <row r="46" spans="1:10" ht="14.25">
      <c r="A46" s="35">
        <v>230</v>
      </c>
      <c r="B46" s="36">
        <f t="shared" si="0"/>
        <v>9.05511811023622</v>
      </c>
      <c r="C46" s="37">
        <f t="shared" si="1"/>
        <v>354.7039187844626</v>
      </c>
      <c r="D46" s="36">
        <f t="shared" si="2"/>
        <v>315.50947202505284</v>
      </c>
      <c r="E46" s="37">
        <f t="shared" si="3"/>
        <v>292.8494121405903</v>
      </c>
      <c r="F46" s="36">
        <f t="shared" si="4"/>
        <v>261.64244244690235</v>
      </c>
      <c r="G46" s="37">
        <f t="shared" si="5"/>
        <v>230.18489864365932</v>
      </c>
      <c r="H46" s="36">
        <f t="shared" si="6"/>
        <v>211.75208167718074</v>
      </c>
      <c r="I46" s="37">
        <f t="shared" si="7"/>
        <v>188.56538402837913</v>
      </c>
      <c r="J46" s="36">
        <f t="shared" si="8"/>
        <v>167.33326424629712</v>
      </c>
    </row>
    <row r="47" spans="1:10" ht="14.25">
      <c r="A47" s="35">
        <v>240</v>
      </c>
      <c r="B47" s="36">
        <f t="shared" si="0"/>
        <v>9.448818897637796</v>
      </c>
      <c r="C47" s="37">
        <f t="shared" si="1"/>
        <v>372.16802939501963</v>
      </c>
      <c r="D47" s="36">
        <f t="shared" si="2"/>
        <v>331.2685876965052</v>
      </c>
      <c r="E47" s="37">
        <f t="shared" si="3"/>
        <v>307.62232053010945</v>
      </c>
      <c r="F47" s="36">
        <f t="shared" si="4"/>
        <v>275.0560578497394</v>
      </c>
      <c r="G47" s="37">
        <f t="shared" si="5"/>
        <v>242.22585831592062</v>
      </c>
      <c r="H47" s="36">
        <f t="shared" si="6"/>
        <v>222.9866780900299</v>
      </c>
      <c r="I47" s="37">
        <f t="shared" si="7"/>
        <v>198.78199028258481</v>
      </c>
      <c r="J47" s="36">
        <f t="shared" si="8"/>
        <v>176.61192555345576</v>
      </c>
    </row>
    <row r="48" spans="1:10" ht="14.25">
      <c r="A48" s="35">
        <v>250</v>
      </c>
      <c r="B48" s="36">
        <f t="shared" si="0"/>
        <v>9.84251968503937</v>
      </c>
      <c r="C48" s="37">
        <f t="shared" si="1"/>
        <v>389.71549746832494</v>
      </c>
      <c r="D48" s="36">
        <f t="shared" si="2"/>
        <v>347.1110608307057</v>
      </c>
      <c r="E48" s="37">
        <f t="shared" si="3"/>
        <v>322.47858638237676</v>
      </c>
      <c r="F48" s="36">
        <f t="shared" si="4"/>
        <v>288.5530307153246</v>
      </c>
      <c r="G48" s="37">
        <f t="shared" si="5"/>
        <v>254.3501754509301</v>
      </c>
      <c r="H48" s="36">
        <f t="shared" si="6"/>
        <v>234.30463196562724</v>
      </c>
      <c r="I48" s="37">
        <f t="shared" si="7"/>
        <v>209.0819539995386</v>
      </c>
      <c r="J48" s="36">
        <f t="shared" si="8"/>
        <v>185.9739443233625</v>
      </c>
    </row>
    <row r="49" spans="1:10" ht="14.25">
      <c r="A49" s="35">
        <v>260</v>
      </c>
      <c r="B49" s="36">
        <f t="shared" si="0"/>
        <v>10.236220472440946</v>
      </c>
      <c r="C49" s="37">
        <f t="shared" si="1"/>
        <v>407.3429868886285</v>
      </c>
      <c r="D49" s="36">
        <f t="shared" si="2"/>
        <v>363.0335553119046</v>
      </c>
      <c r="E49" s="37">
        <f t="shared" si="3"/>
        <v>337.41487358164244</v>
      </c>
      <c r="F49" s="36">
        <f t="shared" si="4"/>
        <v>302.13002492790827</v>
      </c>
      <c r="G49" s="37">
        <f t="shared" si="5"/>
        <v>266.55451393293794</v>
      </c>
      <c r="H49" s="36">
        <f t="shared" si="6"/>
        <v>245.70260718822294</v>
      </c>
      <c r="I49" s="37">
        <f t="shared" si="7"/>
        <v>219.46193906349075</v>
      </c>
      <c r="J49" s="36">
        <f t="shared" si="8"/>
        <v>195.4159844402676</v>
      </c>
    </row>
    <row r="50" spans="1:10" ht="14.25">
      <c r="A50" s="35">
        <v>270</v>
      </c>
      <c r="B50" s="36">
        <f t="shared" si="0"/>
        <v>10.62992125984252</v>
      </c>
      <c r="C50" s="37">
        <f t="shared" si="1"/>
        <v>425.0474183623418</v>
      </c>
      <c r="D50" s="36">
        <f t="shared" si="2"/>
        <v>379.032991846513</v>
      </c>
      <c r="E50" s="37">
        <f t="shared" si="3"/>
        <v>352.4281028343178</v>
      </c>
      <c r="F50" s="36">
        <f t="shared" si="4"/>
        <v>315.78396119390146</v>
      </c>
      <c r="G50" s="37">
        <f t="shared" si="5"/>
        <v>278.83579446835546</v>
      </c>
      <c r="H50" s="36">
        <f t="shared" si="6"/>
        <v>257.1775244642283</v>
      </c>
      <c r="I50" s="37">
        <f t="shared" si="7"/>
        <v>229.91886618085258</v>
      </c>
      <c r="J50" s="36">
        <f t="shared" si="8"/>
        <v>204.9349666105824</v>
      </c>
    </row>
    <row r="51" spans="1:10" ht="14.25">
      <c r="A51" s="35">
        <v>280</v>
      </c>
      <c r="B51" s="36">
        <f t="shared" si="0"/>
        <v>11.023622047244094</v>
      </c>
      <c r="C51" s="37">
        <f t="shared" si="1"/>
        <v>442.82594085451603</v>
      </c>
      <c r="D51" s="36">
        <f t="shared" si="2"/>
        <v>395.10651939958257</v>
      </c>
      <c r="E51" s="37">
        <f t="shared" si="3"/>
        <v>367.51542310545415</v>
      </c>
      <c r="F51" s="36">
        <f t="shared" si="4"/>
        <v>329.51198847835576</v>
      </c>
      <c r="G51" s="37">
        <f t="shared" si="5"/>
        <v>291.19116602223386</v>
      </c>
      <c r="H51" s="36">
        <f t="shared" si="6"/>
        <v>268.7265327586947</v>
      </c>
      <c r="I51" s="37">
        <f t="shared" si="7"/>
        <v>240.44988431667537</v>
      </c>
      <c r="J51" s="36">
        <f t="shared" si="8"/>
        <v>214.52803979935817</v>
      </c>
    </row>
    <row r="52" spans="1:10" ht="14.25">
      <c r="A52" s="35">
        <v>290</v>
      </c>
      <c r="B52" s="36">
        <f t="shared" si="0"/>
        <v>11.41732283464567</v>
      </c>
      <c r="C52" s="37">
        <f t="shared" si="1"/>
        <v>460.6759071105166</v>
      </c>
      <c r="D52" s="36">
        <f t="shared" si="2"/>
        <v>411.2514907164785</v>
      </c>
      <c r="E52" s="37">
        <f t="shared" si="3"/>
        <v>382.67418714041696</v>
      </c>
      <c r="F52" s="36">
        <f t="shared" si="4"/>
        <v>343.3114595266364</v>
      </c>
      <c r="G52" s="37">
        <f t="shared" si="5"/>
        <v>303.61798133993875</v>
      </c>
      <c r="H52" s="36">
        <f t="shared" si="6"/>
        <v>280.34698481698746</v>
      </c>
      <c r="I52" s="37">
        <f t="shared" si="7"/>
        <v>251.05234621632462</v>
      </c>
      <c r="J52" s="36">
        <f t="shared" si="8"/>
        <v>224.19255675196032</v>
      </c>
    </row>
    <row r="53" spans="1:10" ht="14.25">
      <c r="A53" s="35">
        <v>300</v>
      </c>
      <c r="B53" s="36">
        <f t="shared" si="0"/>
        <v>11.811023622047244</v>
      </c>
      <c r="C53" s="37">
        <f t="shared" si="1"/>
        <v>478.5948525576271</v>
      </c>
      <c r="D53" s="36">
        <f t="shared" si="2"/>
        <v>427.46544122448404</v>
      </c>
      <c r="E53" s="37">
        <f t="shared" si="3"/>
        <v>397.9019303664894</v>
      </c>
      <c r="F53" s="36">
        <f t="shared" si="4"/>
        <v>357.1799097660268</v>
      </c>
      <c r="G53" s="37">
        <f t="shared" si="5"/>
        <v>316.11377584875345</v>
      </c>
      <c r="H53" s="36">
        <f t="shared" si="6"/>
        <v>292.03641606638996</v>
      </c>
      <c r="I53" s="37">
        <f t="shared" si="7"/>
        <v>261.72378730708357</v>
      </c>
      <c r="J53" s="36">
        <f t="shared" si="8"/>
        <v>233.92605289567226</v>
      </c>
    </row>
    <row r="54" spans="1:10" ht="14.25">
      <c r="A54" s="35">
        <v>310</v>
      </c>
      <c r="B54" s="36">
        <f t="shared" si="0"/>
        <v>12.20472440944882</v>
      </c>
      <c r="C54" s="37">
        <f t="shared" si="1"/>
        <v>496.5804770225734</v>
      </c>
      <c r="D54" s="36">
        <f t="shared" si="2"/>
        <v>443.7460707503257</v>
      </c>
      <c r="E54" s="37">
        <f t="shared" si="3"/>
        <v>413.19635261039787</v>
      </c>
      <c r="F54" s="36">
        <f t="shared" si="4"/>
        <v>371.11503902325313</v>
      </c>
      <c r="G54" s="37">
        <f t="shared" si="5"/>
        <v>328.676249375404</v>
      </c>
      <c r="H54" s="36">
        <f t="shared" si="6"/>
        <v>303.7925263336284</v>
      </c>
      <c r="I54" s="37">
        <f t="shared" si="7"/>
        <v>272.46190741567847</v>
      </c>
      <c r="J54" s="36">
        <f t="shared" si="8"/>
        <v>243.72622805722008</v>
      </c>
    </row>
    <row r="55" spans="1:10" ht="14.25">
      <c r="A55" s="35">
        <v>320</v>
      </c>
      <c r="B55" s="36">
        <f t="shared" si="0"/>
        <v>12.598425196850394</v>
      </c>
      <c r="C55" s="37">
        <f t="shared" si="1"/>
        <v>514.6306288102735</v>
      </c>
      <c r="D55" s="36">
        <f t="shared" si="2"/>
        <v>460.09122759892097</v>
      </c>
      <c r="E55" s="37">
        <f t="shared" si="3"/>
        <v>428.5553021770599</v>
      </c>
      <c r="F55" s="36">
        <f t="shared" si="4"/>
        <v>385.1146956032331</v>
      </c>
      <c r="G55" s="37">
        <f t="shared" si="5"/>
        <v>341.30325022480815</v>
      </c>
      <c r="H55" s="36">
        <f t="shared" si="6"/>
        <v>315.6131639236205</v>
      </c>
      <c r="I55" s="37">
        <f t="shared" si="7"/>
        <v>283.26455484702706</v>
      </c>
      <c r="J55" s="36">
        <f t="shared" si="8"/>
        <v>253.59093054152163</v>
      </c>
    </row>
    <row r="56" spans="1:10" ht="14.25">
      <c r="A56" s="35">
        <v>330</v>
      </c>
      <c r="B56" s="36">
        <f t="shared" si="0"/>
        <v>12.992125984251969</v>
      </c>
      <c r="C56" s="37">
        <f t="shared" si="1"/>
        <v>532.7432907744753</v>
      </c>
      <c r="D56" s="36">
        <f t="shared" si="2"/>
        <v>476.4988946240179</v>
      </c>
      <c r="E56" s="37">
        <f t="shared" si="3"/>
        <v>443.97676192022374</v>
      </c>
      <c r="F56" s="36">
        <f t="shared" si="4"/>
        <v>399.1768623597149</v>
      </c>
      <c r="G56" s="37">
        <f t="shared" si="5"/>
        <v>353.99276125071424</v>
      </c>
      <c r="H56" s="36">
        <f t="shared" si="6"/>
        <v>327.4963116901144</v>
      </c>
      <c r="I56" s="37">
        <f t="shared" si="7"/>
        <v>294.1297124548774</v>
      </c>
      <c r="J56" s="36">
        <f t="shared" si="8"/>
        <v>263.51814320232495</v>
      </c>
    </row>
    <row r="57" spans="1:10" ht="14.25">
      <c r="A57" s="35">
        <v>340</v>
      </c>
      <c r="B57" s="36">
        <f t="shared" si="0"/>
        <v>13.385826771653544</v>
      </c>
      <c r="C57" s="37">
        <f t="shared" si="1"/>
        <v>550.916568078183</v>
      </c>
      <c r="D57" s="36">
        <f t="shared" si="2"/>
        <v>492.9671769886211</v>
      </c>
      <c r="E57" s="37">
        <f t="shared" si="3"/>
        <v>459.4588370028937</v>
      </c>
      <c r="F57" s="36">
        <f t="shared" si="4"/>
        <v>413.2996444557029</v>
      </c>
      <c r="G57" s="37">
        <f t="shared" si="5"/>
        <v>366.7428876161262</v>
      </c>
      <c r="H57" s="36">
        <f t="shared" si="6"/>
        <v>339.4400747961144</v>
      </c>
      <c r="I57" s="37">
        <f t="shared" si="7"/>
        <v>305.0554854022338</v>
      </c>
      <c r="J57" s="36">
        <f t="shared" si="8"/>
        <v>273.5059712026343</v>
      </c>
    </row>
    <row r="58" spans="1:10" ht="14.25">
      <c r="A58" s="35">
        <v>350</v>
      </c>
      <c r="B58" s="36">
        <f t="shared" si="0"/>
        <v>13.779527559055119</v>
      </c>
      <c r="C58" s="37">
        <f t="shared" si="1"/>
        <v>569.1486773951398</v>
      </c>
      <c r="D58" s="36">
        <f t="shared" si="2"/>
        <v>509.4942913664728</v>
      </c>
      <c r="E58" s="37">
        <f t="shared" si="3"/>
        <v>474.9997440988124</v>
      </c>
      <c r="F58" s="36">
        <f t="shared" si="4"/>
        <v>427.48125856493937</v>
      </c>
      <c r="G58" s="37">
        <f t="shared" si="5"/>
        <v>379.5518459947871</v>
      </c>
      <c r="H58" s="36">
        <f t="shared" si="6"/>
        <v>351.442669915363</v>
      </c>
      <c r="I58" s="37">
        <f t="shared" si="7"/>
        <v>316.04009036283895</v>
      </c>
      <c r="J58" s="36">
        <f t="shared" si="8"/>
        <v>283.55263121619237</v>
      </c>
    </row>
    <row r="59" spans="1:10" ht="14.25">
      <c r="A59" s="35">
        <v>360</v>
      </c>
      <c r="B59" s="36">
        <f t="shared" si="0"/>
        <v>14.173228346456694</v>
      </c>
      <c r="C59" s="37">
        <f t="shared" si="1"/>
        <v>587.4379373463173</v>
      </c>
      <c r="D59" s="36">
        <f t="shared" si="2"/>
        <v>526.0785563785457</v>
      </c>
      <c r="E59" s="37">
        <f t="shared" si="3"/>
        <v>490.597801828952</v>
      </c>
      <c r="F59" s="36">
        <f t="shared" si="4"/>
        <v>441.7200233083969</v>
      </c>
      <c r="G59" s="37">
        <f t="shared" si="5"/>
        <v>392.4179550076688</v>
      </c>
      <c r="H59" s="36">
        <f t="shared" si="6"/>
        <v>363.5024156688327</v>
      </c>
      <c r="I59" s="37">
        <f t="shared" si="7"/>
        <v>327.08184595766505</v>
      </c>
      <c r="J59" s="36">
        <f t="shared" si="8"/>
        <v>293.6564418639714</v>
      </c>
    </row>
    <row r="60" spans="1:10" ht="14.25">
      <c r="A60" s="35">
        <v>370</v>
      </c>
      <c r="B60" s="36">
        <f t="shared" si="0"/>
        <v>14.566929133858268</v>
      </c>
      <c r="C60" s="37">
        <f t="shared" si="1"/>
        <v>605.7827599997465</v>
      </c>
      <c r="D60" s="36">
        <f t="shared" si="2"/>
        <v>542.7183840928701</v>
      </c>
      <c r="E60" s="37">
        <f t="shared" si="3"/>
        <v>506.25142226134346</v>
      </c>
      <c r="F60" s="36">
        <f t="shared" si="4"/>
        <v>456.01435075410615</v>
      </c>
      <c r="G60" s="37">
        <f t="shared" si="5"/>
        <v>405.33962672280234</v>
      </c>
      <c r="H60" s="36">
        <f t="shared" si="6"/>
        <v>375.61772412455406</v>
      </c>
      <c r="I60" s="37">
        <f t="shared" si="7"/>
        <v>338.1791642547429</v>
      </c>
      <c r="J60" s="36">
        <f t="shared" si="8"/>
        <v>303.8158152140022</v>
      </c>
    </row>
    <row r="61" spans="1:10" ht="14.25">
      <c r="A61" s="35">
        <v>380</v>
      </c>
      <c r="B61" s="36">
        <f t="shared" si="0"/>
        <v>14.960629921259843</v>
      </c>
      <c r="C61" s="37">
        <f t="shared" si="1"/>
        <v>624.1816432898759</v>
      </c>
      <c r="D61" s="36">
        <f t="shared" si="2"/>
        <v>559.4122724438948</v>
      </c>
      <c r="E61" s="37">
        <f t="shared" si="3"/>
        <v>521.9591033304347</v>
      </c>
      <c r="F61" s="36">
        <f t="shared" si="4"/>
        <v>470.3627388365154</v>
      </c>
      <c r="G61" s="37">
        <f t="shared" si="5"/>
        <v>418.31535907463586</v>
      </c>
      <c r="H61" s="36">
        <f t="shared" si="6"/>
        <v>387.7870932169755</v>
      </c>
      <c r="I61" s="37">
        <f t="shared" si="7"/>
        <v>349.3305431885207</v>
      </c>
      <c r="J61" s="36">
        <f t="shared" si="8"/>
        <v>314.02924920073303</v>
      </c>
    </row>
    <row r="62" spans="1:10" ht="14.25">
      <c r="A62" s="35">
        <v>390</v>
      </c>
      <c r="B62" s="36">
        <f t="shared" si="0"/>
        <v>15.354330708661418</v>
      </c>
      <c r="C62" s="37">
        <f t="shared" si="1"/>
        <v>642.6331642353796</v>
      </c>
      <c r="D62" s="36">
        <f t="shared" si="2"/>
        <v>576.1587984502937</v>
      </c>
      <c r="E62" s="37">
        <f t="shared" si="3"/>
        <v>537.7194220549005</v>
      </c>
      <c r="F62" s="36">
        <f t="shared" si="4"/>
        <v>484.76376457429916</v>
      </c>
      <c r="G62" s="37">
        <f t="shared" si="5"/>
        <v>431.3437290818437</v>
      </c>
      <c r="H62" s="36">
        <f t="shared" si="6"/>
        <v>400.0090999647713</v>
      </c>
      <c r="I62" s="37">
        <f t="shared" si="7"/>
        <v>360.5345597776729</v>
      </c>
      <c r="J62" s="36">
        <f t="shared" si="8"/>
        <v>324.29532084283824</v>
      </c>
    </row>
    <row r="63" spans="1:10" ht="14.25">
      <c r="A63" s="35">
        <v>400</v>
      </c>
      <c r="B63" s="36">
        <f t="shared" si="0"/>
        <v>15.748031496062993</v>
      </c>
      <c r="C63" s="37">
        <f t="shared" si="1"/>
        <v>661.1359728529785</v>
      </c>
      <c r="D63" s="36">
        <f t="shared" si="2"/>
        <v>592.9566121287879</v>
      </c>
      <c r="E63" s="37">
        <f t="shared" si="3"/>
        <v>553.5310284514617</v>
      </c>
      <c r="F63" s="36">
        <f t="shared" si="4"/>
        <v>499.21607798417824</v>
      </c>
      <c r="G63" s="37">
        <f t="shared" si="5"/>
        <v>444.423386761147</v>
      </c>
      <c r="H63" s="36">
        <f t="shared" si="6"/>
        <v>412.2823943846624</v>
      </c>
      <c r="I63" s="37">
        <f t="shared" si="7"/>
        <v>371.78986403892054</v>
      </c>
      <c r="J63" s="36">
        <f t="shared" si="8"/>
        <v>334.61268015703877</v>
      </c>
    </row>
    <row r="64" spans="1:10" ht="14.25">
      <c r="A64" s="35">
        <v>410</v>
      </c>
      <c r="B64" s="36">
        <f t="shared" si="0"/>
        <v>16.141732283464567</v>
      </c>
      <c r="C64" s="37">
        <f t="shared" si="1"/>
        <v>679.6887866802136</v>
      </c>
      <c r="D64" s="36">
        <f t="shared" si="2"/>
        <v>609.8044310169181</v>
      </c>
      <c r="E64" s="37">
        <f t="shared" si="3"/>
        <v>569.3926400576587</v>
      </c>
      <c r="F64" s="36">
        <f t="shared" si="4"/>
        <v>513.7183966036931</v>
      </c>
      <c r="G64" s="37">
        <f t="shared" si="5"/>
        <v>457.5530496500862</v>
      </c>
      <c r="H64" s="36">
        <f t="shared" si="6"/>
        <v>424.6056940141894</v>
      </c>
      <c r="I64" s="37">
        <f t="shared" si="7"/>
        <v>383.0951735098041</v>
      </c>
      <c r="J64" s="36">
        <f t="shared" si="8"/>
        <v>344.98004468087527</v>
      </c>
    </row>
    <row r="65" spans="1:10" ht="14.25">
      <c r="A65" s="35">
        <v>420</v>
      </c>
      <c r="B65" s="36">
        <f t="shared" si="0"/>
        <v>16.535433070866144</v>
      </c>
      <c r="C65" s="37">
        <f t="shared" si="1"/>
        <v>698.2903858328599</v>
      </c>
      <c r="D65" s="36">
        <f t="shared" si="2"/>
        <v>626.7010352304596</v>
      </c>
      <c r="E65" s="37">
        <f t="shared" si="3"/>
        <v>585.3030369892671</v>
      </c>
      <c r="F65" s="36">
        <f t="shared" si="4"/>
        <v>528.2695005486194</v>
      </c>
      <c r="G65" s="37">
        <f t="shared" si="5"/>
        <v>470.7314978644366</v>
      </c>
      <c r="H65" s="36">
        <f t="shared" si="6"/>
        <v>436.9777789691278</v>
      </c>
      <c r="I65" s="37">
        <f t="shared" si="7"/>
        <v>394.4492683060988</v>
      </c>
      <c r="J65" s="36">
        <f t="shared" si="8"/>
        <v>355.3961945301231</v>
      </c>
    </row>
    <row r="66" spans="1:10" ht="14.25">
      <c r="A66" s="35">
        <v>430</v>
      </c>
      <c r="B66" s="36">
        <f t="shared" si="0"/>
        <v>16.92913385826772</v>
      </c>
      <c r="C66" s="37">
        <f t="shared" si="1"/>
        <v>716.9396085332999</v>
      </c>
      <c r="D66" s="36">
        <f t="shared" si="2"/>
        <v>643.6452629917948</v>
      </c>
      <c r="E66" s="37">
        <f t="shared" si="3"/>
        <v>601.2610574686692</v>
      </c>
      <c r="F66" s="36">
        <f t="shared" si="4"/>
        <v>542.8682280413394</v>
      </c>
      <c r="G66" s="37">
        <f t="shared" si="5"/>
        <v>483.95756962658083</v>
      </c>
      <c r="H66" s="36">
        <f t="shared" si="6"/>
        <v>449.3974874718599</v>
      </c>
      <c r="I66" s="37">
        <f t="shared" si="7"/>
        <v>405.85098665018745</v>
      </c>
      <c r="J66" s="36">
        <f t="shared" si="8"/>
        <v>365.85996792716463</v>
      </c>
    </row>
  </sheetData>
  <sheetProtection/>
  <mergeCells count="21">
    <mergeCell ref="A1:I1"/>
    <mergeCell ref="D6:I6"/>
    <mergeCell ref="A7:I7"/>
    <mergeCell ref="D12:I12"/>
    <mergeCell ref="A13:I13"/>
    <mergeCell ref="E14:F14"/>
    <mergeCell ref="E15:F15"/>
    <mergeCell ref="E16:F16"/>
    <mergeCell ref="E17:F17"/>
    <mergeCell ref="D18:I18"/>
    <mergeCell ref="A19:J19"/>
    <mergeCell ref="A20:J20"/>
    <mergeCell ref="C21:C22"/>
    <mergeCell ref="D21:D22"/>
    <mergeCell ref="E21:E22"/>
    <mergeCell ref="F21:F22"/>
    <mergeCell ref="G21:G22"/>
    <mergeCell ref="H21:H22"/>
    <mergeCell ref="I21:I22"/>
    <mergeCell ref="J21:J22"/>
    <mergeCell ref="A21:B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泰坦科技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2007-05-31T09:53:06Z</cp:lastPrinted>
  <dcterms:created xsi:type="dcterms:W3CDTF">2007-05-29T00:45:36Z</dcterms:created>
  <dcterms:modified xsi:type="dcterms:W3CDTF">2018-11-20T05:33:46Z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