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15" activeTab="0"/>
  </bookViews>
  <sheets>
    <sheet name="变压器计算公式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<sst xmlns="http://schemas.openxmlformats.org/spreadsheetml/2006/main" count="155" uniqueCount="140">
  <si>
    <t>反激式开关电源变压器设计数据表</t>
  </si>
  <si>
    <t>符号</t>
  </si>
  <si>
    <t>数值</t>
  </si>
  <si>
    <t>单位</t>
  </si>
  <si>
    <t>数值范围</t>
  </si>
  <si>
    <t>表达式</t>
  </si>
  <si>
    <t>step1:规格</t>
  </si>
  <si>
    <t>Vin,min</t>
  </si>
  <si>
    <t>VAC</t>
  </si>
  <si>
    <t>&gt;85</t>
  </si>
  <si>
    <t>VDC</t>
  </si>
  <si>
    <t>最大交流输入电压</t>
  </si>
  <si>
    <t>Vin,max</t>
  </si>
  <si>
    <t>&lt;265</t>
  </si>
  <si>
    <t>开关频率</t>
  </si>
  <si>
    <t>f</t>
  </si>
  <si>
    <t>kHz</t>
  </si>
  <si>
    <t>开关周期(计算)</t>
  </si>
  <si>
    <t>T</t>
  </si>
  <si>
    <t>us</t>
  </si>
  <si>
    <t>1/f</t>
  </si>
  <si>
    <t>输出电压(设定)</t>
  </si>
  <si>
    <t>Vout</t>
  </si>
  <si>
    <t>输出电流(设定)</t>
  </si>
  <si>
    <t>Iout</t>
  </si>
  <si>
    <t>A</t>
  </si>
  <si>
    <t>磁芯截面积(设定)</t>
  </si>
  <si>
    <t>Ae</t>
  </si>
  <si>
    <t>mm2</t>
  </si>
  <si>
    <t>step2:变压器参数</t>
  </si>
  <si>
    <t>最小交流输入电压最小值</t>
  </si>
  <si>
    <t>最大占空比(设定)</t>
  </si>
  <si>
    <t>Dmax</t>
  </si>
  <si>
    <t>开关电源一般不超过0.45</t>
  </si>
  <si>
    <t>Ipk</t>
  </si>
  <si>
    <t>A</t>
  </si>
  <si>
    <t>效率(设定)</t>
  </si>
  <si>
    <t>η</t>
  </si>
  <si>
    <t>输入功率</t>
  </si>
  <si>
    <t>Pin</t>
  </si>
  <si>
    <t>原边电感</t>
  </si>
  <si>
    <t>Lp</t>
  </si>
  <si>
    <t>磁芯规格</t>
  </si>
  <si>
    <t>Ap</t>
  </si>
  <si>
    <t>mH</t>
  </si>
  <si>
    <t>J一般选4.5A/mm^2,ΔB一般取0.2-0.26</t>
  </si>
  <si>
    <t>Ap=Ae*Aw或(5Po/ΔB*J*f)*10^3</t>
  </si>
  <si>
    <r>
      <t>2</t>
    </r>
    <r>
      <rPr>
        <sz val="12"/>
        <rFont val="华文新魏"/>
        <family val="0"/>
      </rPr>
      <t>Pin/(Dmax*Vinmin*SQRT(2))</t>
    </r>
  </si>
  <si>
    <t>变压器气隙计算</t>
  </si>
  <si>
    <r>
      <t>L</t>
    </r>
    <r>
      <rPr>
        <sz val="12"/>
        <rFont val="华文新魏"/>
        <family val="0"/>
      </rPr>
      <t>g</t>
    </r>
  </si>
  <si>
    <r>
      <t>m</t>
    </r>
    <r>
      <rPr>
        <sz val="12"/>
        <rFont val="华文新魏"/>
        <family val="0"/>
      </rPr>
      <t>m</t>
    </r>
  </si>
  <si>
    <t>根据计算的AP值=Ae*Aw选择磁芯</t>
  </si>
  <si>
    <t>Aw=(E-D)*F=&gt;变压器规格尺寸</t>
  </si>
  <si>
    <t>(Vout*Iout)/η</t>
  </si>
  <si>
    <t>(Vinmin*SQRT(2)*Dmax)/(Ipk*f)</t>
  </si>
  <si>
    <t>(0.4πLP(Ipk^2))/(Ae*(ΔB^2))</t>
  </si>
  <si>
    <t>变压器匝比</t>
  </si>
  <si>
    <t>n</t>
  </si>
  <si>
    <t>(Vinmin*SQRT(2)*Dmax)/((Vo+0.7)*(1-Dmax))</t>
  </si>
  <si>
    <t>Np</t>
  </si>
  <si>
    <t>T</t>
  </si>
  <si>
    <t>(LP*Ipk)*10^3/(Ae*ΔB)</t>
  </si>
  <si>
    <t>次级匝数</t>
  </si>
  <si>
    <t>NS</t>
  </si>
  <si>
    <t>NP/NS=n</t>
  </si>
  <si>
    <t>辅助匝数</t>
  </si>
  <si>
    <t>NA</t>
  </si>
  <si>
    <t>一般辅助绕组Vcc设定15VDC</t>
  </si>
  <si>
    <t>NS/NA=(Vo+0.7)/Vcc</t>
  </si>
  <si>
    <t>原边有效电流</t>
  </si>
  <si>
    <t>原边峰值电流</t>
  </si>
  <si>
    <t>Irms</t>
  </si>
  <si>
    <t>初级线径</t>
  </si>
  <si>
    <t>ΨP</t>
  </si>
  <si>
    <t>mm</t>
  </si>
  <si>
    <r>
      <t>P</t>
    </r>
    <r>
      <rPr>
        <sz val="12"/>
        <rFont val="华文新魏"/>
        <family val="0"/>
      </rPr>
      <t>in/(Vinmin*SQRT(2))</t>
    </r>
  </si>
  <si>
    <t>2*SQRT(Irms/(J*3.14))</t>
  </si>
  <si>
    <t>电流密度J取4.5A/mm^2</t>
  </si>
  <si>
    <t>次级线径</t>
  </si>
  <si>
    <t>ΨS</t>
  </si>
  <si>
    <t>2*SQRT(Io/(J*3.14))</t>
  </si>
  <si>
    <t>根据电源设计估算</t>
  </si>
  <si>
    <t>根据电源输出要求</t>
  </si>
  <si>
    <r>
      <t>step</t>
    </r>
    <r>
      <rPr>
        <b/>
        <sz val="12"/>
        <color indexed="48"/>
        <rFont val="华文新魏"/>
        <family val="0"/>
      </rPr>
      <t>3</t>
    </r>
    <r>
      <rPr>
        <b/>
        <sz val="12"/>
        <color indexed="48"/>
        <rFont val="华文新魏"/>
        <family val="0"/>
      </rPr>
      <t>:反激电源关键元件选型</t>
    </r>
  </si>
  <si>
    <t>次级二极管</t>
  </si>
  <si>
    <r>
      <t>V</t>
    </r>
    <r>
      <rPr>
        <sz val="12"/>
        <rFont val="华文新魏"/>
        <family val="0"/>
      </rPr>
      <t>d</t>
    </r>
  </si>
  <si>
    <r>
      <t>V</t>
    </r>
    <r>
      <rPr>
        <sz val="12"/>
        <rFont val="华文新魏"/>
        <family val="0"/>
      </rPr>
      <t>d=Vo+VinDCMax</t>
    </r>
  </si>
  <si>
    <r>
      <t>M</t>
    </r>
    <r>
      <rPr>
        <sz val="12"/>
        <rFont val="华文新魏"/>
        <family val="0"/>
      </rPr>
      <t>os管耐压</t>
    </r>
  </si>
  <si>
    <r>
      <t>V</t>
    </r>
    <r>
      <rPr>
        <sz val="12"/>
        <rFont val="华文新魏"/>
        <family val="0"/>
      </rPr>
      <t>mos</t>
    </r>
  </si>
  <si>
    <t>Vmos=VinDCMax+n*(Vo+Vf)</t>
  </si>
  <si>
    <t>n是变压器匝比</t>
  </si>
  <si>
    <t>整流桥堆</t>
  </si>
  <si>
    <r>
      <t>V</t>
    </r>
    <r>
      <rPr>
        <sz val="12"/>
        <rFont val="华文新魏"/>
        <family val="0"/>
      </rPr>
      <t>bri</t>
    </r>
  </si>
  <si>
    <r>
      <t>V</t>
    </r>
    <r>
      <rPr>
        <sz val="12"/>
        <rFont val="华文新魏"/>
        <family val="0"/>
      </rPr>
      <t>d=2SQRT(2)*VinMax</t>
    </r>
  </si>
  <si>
    <r>
      <t>I</t>
    </r>
    <r>
      <rPr>
        <sz val="12"/>
        <rFont val="华文新魏"/>
        <family val="0"/>
      </rPr>
      <t>bri</t>
    </r>
  </si>
  <si>
    <r>
      <t>P</t>
    </r>
    <r>
      <rPr>
        <sz val="12"/>
        <rFont val="华文新魏"/>
        <family val="0"/>
      </rPr>
      <t>bri</t>
    </r>
  </si>
  <si>
    <t>经验值是5倍的有效电流值</t>
  </si>
  <si>
    <r>
      <t>取二极管压降为0</t>
    </r>
    <r>
      <rPr>
        <sz val="12"/>
        <rFont val="华文新魏"/>
        <family val="0"/>
      </rPr>
      <t>.7V</t>
    </r>
  </si>
  <si>
    <r>
      <rPr>
        <sz val="12"/>
        <rFont val="华文新魏"/>
        <family val="0"/>
      </rPr>
      <t>(</t>
    </r>
    <r>
      <rPr>
        <sz val="12"/>
        <rFont val="华文新魏"/>
        <family val="0"/>
      </rPr>
      <t>2</t>
    </r>
    <r>
      <rPr>
        <sz val="12"/>
        <rFont val="华文新魏"/>
        <family val="0"/>
      </rPr>
      <t>*Vf*Pin)/(Vinmin*SQRT(2))</t>
    </r>
  </si>
  <si>
    <t>Ibri=5*Pin/(Vinmin*SQRT(2))</t>
  </si>
  <si>
    <t>输入电容</t>
  </si>
  <si>
    <r>
      <t>C</t>
    </r>
    <r>
      <rPr>
        <sz val="12"/>
        <rFont val="华文新魏"/>
        <family val="0"/>
      </rPr>
      <t>i</t>
    </r>
  </si>
  <si>
    <r>
      <t>u</t>
    </r>
    <r>
      <rPr>
        <sz val="12"/>
        <rFont val="华文新魏"/>
        <family val="0"/>
      </rPr>
      <t>F</t>
    </r>
  </si>
  <si>
    <t>W</t>
  </si>
  <si>
    <t>V</t>
  </si>
  <si>
    <r>
      <t>宽电压3</t>
    </r>
    <r>
      <rPr>
        <sz val="12"/>
        <rFont val="华文新魏"/>
        <family val="0"/>
      </rPr>
      <t>-4uF/W,220V 1uF/W</t>
    </r>
  </si>
  <si>
    <t>输出电容</t>
  </si>
  <si>
    <r>
      <t>C</t>
    </r>
    <r>
      <rPr>
        <sz val="12"/>
        <rFont val="华文新魏"/>
        <family val="0"/>
      </rPr>
      <t>o</t>
    </r>
  </si>
  <si>
    <r>
      <t>经验值是1</t>
    </r>
    <r>
      <rPr>
        <sz val="12"/>
        <rFont val="华文新魏"/>
        <family val="0"/>
      </rPr>
      <t>000uF/A</t>
    </r>
  </si>
  <si>
    <r>
      <t>I</t>
    </r>
    <r>
      <rPr>
        <sz val="12"/>
        <rFont val="华文新魏"/>
        <family val="0"/>
      </rPr>
      <t>o*1000uF</t>
    </r>
  </si>
  <si>
    <r>
      <rPr>
        <sz val="12"/>
        <rFont val="华文新魏"/>
        <family val="0"/>
      </rPr>
      <t>(</t>
    </r>
    <r>
      <rPr>
        <sz val="12"/>
        <rFont val="华文新魏"/>
        <family val="0"/>
      </rPr>
      <t>n</t>
    </r>
    <r>
      <rPr>
        <sz val="12"/>
        <rFont val="华文新魏"/>
        <family val="0"/>
      </rPr>
      <t>*(Vo+Vf))/(SQRT(2)*Vinmin+n*(Vo+Vf))</t>
    </r>
  </si>
  <si>
    <t>F</t>
  </si>
  <si>
    <t>实际应用在计算值的1.5-3倍(0.5属于PF值，PF是0.9则要用0.9）</t>
  </si>
  <si>
    <t>(2*Pin)/(VinminSQRT(2)*0.5)*1.5</t>
  </si>
  <si>
    <r>
      <t>N</t>
    </r>
    <r>
      <rPr>
        <sz val="12"/>
        <rFont val="华文新魏"/>
        <family val="0"/>
      </rPr>
      <t>TC</t>
    </r>
  </si>
  <si>
    <t>保险丝容量（天关电源一般用慢断）</t>
  </si>
  <si>
    <t>热敏电阻（防止开机瞬间浪涌电流）</t>
  </si>
  <si>
    <t>原边匝数</t>
  </si>
  <si>
    <t>50W内直径为9，100W内直径11，200W内直径13(阻值一般选择5-8R）</t>
  </si>
  <si>
    <t>压敏电阻</t>
  </si>
  <si>
    <t>Zvr</t>
  </si>
  <si>
    <r>
      <t>V</t>
    </r>
    <r>
      <rPr>
        <sz val="12"/>
        <rFont val="华文新魏"/>
        <family val="0"/>
      </rPr>
      <t>1mA</t>
    </r>
  </si>
  <si>
    <r>
      <t>V</t>
    </r>
    <r>
      <rPr>
        <sz val="12"/>
        <rFont val="华文新魏"/>
        <family val="0"/>
      </rPr>
      <t>1mA=(1.2*VinMax*SQRT(2))/(0.9*0.85)</t>
    </r>
  </si>
  <si>
    <r>
      <t>1</t>
    </r>
    <r>
      <rPr>
        <sz val="12"/>
        <rFont val="华文新魏"/>
        <family val="0"/>
      </rPr>
      <t>.2是最大输入电压的倍数，0.9是电压最大数的余量，0.85是阻值的误差</t>
    </r>
  </si>
  <si>
    <t>LF</t>
  </si>
  <si>
    <t>共模电感感量</t>
  </si>
  <si>
    <t>共模电感磁芯</t>
  </si>
  <si>
    <t>共模电感线径</t>
  </si>
  <si>
    <t>Y电容</t>
  </si>
  <si>
    <t>根据空间大小与线径、电感量共同确定</t>
  </si>
  <si>
    <t>EMI频率150K-30MHz,EMC频率30M-3GHz,一般计算电感量用50KHz,2.2*10^-6是常用的Y电容容量</t>
  </si>
  <si>
    <r>
      <t>1</t>
    </r>
    <r>
      <rPr>
        <sz val="12"/>
        <rFont val="华文新魏"/>
        <family val="0"/>
      </rPr>
      <t>/((2*3.14*f)^2*Cy)</t>
    </r>
  </si>
  <si>
    <r>
      <t>ΨC</t>
    </r>
    <r>
      <rPr>
        <sz val="12"/>
        <rFont val="华文新魏"/>
        <family val="0"/>
      </rPr>
      <t>H</t>
    </r>
  </si>
  <si>
    <r>
      <t>m</t>
    </r>
    <r>
      <rPr>
        <sz val="12"/>
        <rFont val="华文新魏"/>
        <family val="0"/>
      </rPr>
      <t>m</t>
    </r>
  </si>
  <si>
    <t>X</t>
  </si>
  <si>
    <t>一级EMI电路取0.47uF,两级EMI电路中的前级取0.47uF,后级取0.1uF</t>
  </si>
  <si>
    <t>X电容(常并一个大电阻，防止插头瞬间带电）</t>
  </si>
  <si>
    <t>Y</t>
  </si>
  <si>
    <t>pF</t>
  </si>
  <si>
    <t>L/N线对地用222/250V,次级输出对初级高压103/1KV，初级地对次级地用1个Y电容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</si>
</sst>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</numFmts>
  <fonts count="42">
    <font>
      <sz val="12"/>
      <name val="宋体"/>
      <family val="0"/>
    </font>
    <font>
      <sz val="24"/>
      <name val="华文新魏"/>
      <family val="0"/>
    </font>
    <font>
      <sz val="24"/>
      <name val="宋体"/>
      <family val="0"/>
    </font>
    <font>
      <sz val="9"/>
      <name val="宋体"/>
      <family val="0"/>
    </font>
    <font>
      <b/>
      <sz val="12"/>
      <color indexed="48"/>
      <name val="华文新魏"/>
      <family val="0"/>
    </font>
    <font>
      <sz val="12"/>
      <name val="华文新魏"/>
      <family val="0"/>
    </font>
    <font>
      <sz val="10"/>
      <name val="华文新魏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隶书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176" fontId="5" fillId="0" borderId="13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58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176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2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8" fontId="1" fillId="0" borderId="13" xfId="0" applyNumberFormat="1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1162050</xdr:colOff>
      <xdr:row>7</xdr:row>
      <xdr:rowOff>190500</xdr:rowOff>
    </xdr:from>
    <xdr:to>
      <xdr:col>5</xdr:col>
      <xdr:colOff>2419350</xdr:colOff>
      <xdr:row>12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2324100"/>
          <a:ext cx="1257300" cy="1285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7">
      <selection activeCell="A42" sqref="A42"/>
    </sheetView>
  </sheetViews>
  <sheetFormatPr defaultColWidth="9.00390625" defaultRowHeight="14.25"/>
  <cols>
    <col min="1" max="1" width="25.75390625" style="2" customWidth="1"/>
    <col min="2" max="2" width="10.75390625" style="2" customWidth="1"/>
    <col min="3" max="3" width="10.25390625" style="2" customWidth="1"/>
    <col min="4" max="4" width="7.00390625" style="2" customWidth="1"/>
    <col min="5" max="5" width="33.375" style="2" customWidth="1"/>
    <col min="6" max="6" width="35.125" style="2" customWidth="1"/>
    <col min="7" max="16384" width="9.00390625" style="2" customWidth="1"/>
  </cols>
  <sheetData>
    <row r="1" spans="1:6" ht="35.25" customHeight="1">
      <c r="A1" s="33" t="s">
        <v>0</v>
      </c>
      <c r="B1" s="33"/>
      <c r="C1" s="33"/>
      <c r="D1" s="33"/>
      <c r="E1" s="33"/>
      <c r="F1" s="33"/>
    </row>
    <row r="2" spans="1:6" s="1" customFormat="1" ht="19.5" customHeight="1">
      <c r="A2" s="3"/>
      <c r="B2" s="4" t="s">
        <v>1</v>
      </c>
      <c r="C2" s="4" t="s">
        <v>2</v>
      </c>
      <c r="D2" s="4" t="s">
        <v>3</v>
      </c>
      <c r="E2" s="4" t="s">
        <v>4</v>
      </c>
      <c r="F2" s="34" t="s">
        <v>5</v>
      </c>
    </row>
    <row r="3" spans="1:6" s="1" customFormat="1" ht="19.5" customHeight="1">
      <c r="A3" s="5" t="s">
        <v>6</v>
      </c>
      <c r="B3" s="6"/>
      <c r="C3" s="6"/>
      <c r="D3" s="6"/>
      <c r="E3" s="6"/>
      <c r="F3" s="6"/>
    </row>
    <row r="4" spans="1:6" s="1" customFormat="1" ht="19.5" customHeight="1">
      <c r="A4" s="7" t="s">
        <v>30</v>
      </c>
      <c r="B4" s="6" t="s">
        <v>7</v>
      </c>
      <c r="C4" s="6">
        <v>85</v>
      </c>
      <c r="D4" s="6" t="s">
        <v>8</v>
      </c>
      <c r="E4" s="6" t="s">
        <v>9</v>
      </c>
      <c r="F4" s="6"/>
    </row>
    <row r="5" spans="1:6" s="1" customFormat="1" ht="19.5" customHeight="1">
      <c r="A5" s="7" t="s">
        <v>11</v>
      </c>
      <c r="B5" s="6" t="s">
        <v>12</v>
      </c>
      <c r="C5" s="6">
        <v>265</v>
      </c>
      <c r="D5" s="6" t="s">
        <v>8</v>
      </c>
      <c r="E5" s="6" t="s">
        <v>13</v>
      </c>
      <c r="F5" s="6"/>
    </row>
    <row r="6" spans="1:6" s="1" customFormat="1" ht="35.25" customHeight="1">
      <c r="A6" s="7" t="s">
        <v>31</v>
      </c>
      <c r="B6" s="6" t="s">
        <v>32</v>
      </c>
      <c r="C6" s="16">
        <v>0.45</v>
      </c>
      <c r="D6" s="6"/>
      <c r="E6" s="6" t="s">
        <v>33</v>
      </c>
      <c r="F6" s="29" t="s">
        <v>110</v>
      </c>
    </row>
    <row r="7" spans="1:6" s="1" customFormat="1" ht="19.5" customHeight="1">
      <c r="A7" s="7" t="s">
        <v>36</v>
      </c>
      <c r="B7" s="14" t="s">
        <v>37</v>
      </c>
      <c r="C7" s="16">
        <v>0.8</v>
      </c>
      <c r="D7" s="6"/>
      <c r="E7" s="6" t="s">
        <v>81</v>
      </c>
      <c r="F7" s="6"/>
    </row>
    <row r="8" spans="1:6" s="1" customFormat="1" ht="19.5" customHeight="1">
      <c r="A8" s="7" t="s">
        <v>38</v>
      </c>
      <c r="B8" s="6" t="s">
        <v>39</v>
      </c>
      <c r="C8" s="16">
        <f>(C11*C12)/C7</f>
        <v>7.874999999999999</v>
      </c>
      <c r="D8" s="6"/>
      <c r="E8" s="6"/>
      <c r="F8" s="14" t="s">
        <v>53</v>
      </c>
    </row>
    <row r="9" spans="1:6" s="1" customFormat="1" ht="19.5" customHeight="1">
      <c r="A9" s="7" t="s">
        <v>14</v>
      </c>
      <c r="B9" s="6" t="s">
        <v>15</v>
      </c>
      <c r="C9" s="16">
        <v>60</v>
      </c>
      <c r="D9" s="6" t="s">
        <v>16</v>
      </c>
      <c r="E9" s="6" t="s">
        <v>81</v>
      </c>
      <c r="F9" s="6"/>
    </row>
    <row r="10" spans="1:6" s="1" customFormat="1" ht="19.5" customHeight="1">
      <c r="A10" s="7" t="s">
        <v>17</v>
      </c>
      <c r="B10" s="6" t="s">
        <v>18</v>
      </c>
      <c r="C10" s="12">
        <f>1/C9*1000</f>
        <v>16.666666666666668</v>
      </c>
      <c r="D10" s="6" t="s">
        <v>19</v>
      </c>
      <c r="E10" s="6"/>
      <c r="F10" s="8" t="s">
        <v>20</v>
      </c>
    </row>
    <row r="11" spans="1:6" s="1" customFormat="1" ht="19.5" customHeight="1">
      <c r="A11" s="7" t="s">
        <v>21</v>
      </c>
      <c r="B11" s="6" t="s">
        <v>22</v>
      </c>
      <c r="C11" s="16">
        <v>18</v>
      </c>
      <c r="D11" s="6" t="s">
        <v>10</v>
      </c>
      <c r="E11" s="19" t="s">
        <v>82</v>
      </c>
      <c r="F11" s="6"/>
    </row>
    <row r="12" spans="1:6" s="1" customFormat="1" ht="19.5" customHeight="1">
      <c r="A12" s="7" t="s">
        <v>23</v>
      </c>
      <c r="B12" s="6" t="s">
        <v>24</v>
      </c>
      <c r="C12" s="16">
        <v>0.35</v>
      </c>
      <c r="D12" s="6" t="s">
        <v>25</v>
      </c>
      <c r="E12" s="19" t="s">
        <v>82</v>
      </c>
      <c r="F12" s="6"/>
    </row>
    <row r="13" spans="1:6" s="1" customFormat="1" ht="19.5" customHeight="1">
      <c r="A13" s="5" t="s">
        <v>29</v>
      </c>
      <c r="B13" s="6"/>
      <c r="C13" s="16"/>
      <c r="D13" s="6"/>
      <c r="E13" s="6"/>
      <c r="F13" s="6"/>
    </row>
    <row r="14" spans="1:6" s="1" customFormat="1" ht="19.5" customHeight="1">
      <c r="A14" s="7" t="s">
        <v>70</v>
      </c>
      <c r="B14" s="6" t="s">
        <v>34</v>
      </c>
      <c r="C14" s="16">
        <f>(2*C8)/(C6*C4*SQRT(2))</f>
        <v>0.291161615782696</v>
      </c>
      <c r="D14" s="6" t="s">
        <v>35</v>
      </c>
      <c r="E14" s="6"/>
      <c r="F14" s="14" t="s">
        <v>47</v>
      </c>
    </row>
    <row r="15" spans="1:6" s="1" customFormat="1" ht="19.5" customHeight="1">
      <c r="A15" s="7" t="s">
        <v>69</v>
      </c>
      <c r="B15" s="6" t="s">
        <v>71</v>
      </c>
      <c r="C15" s="16">
        <f>C8/(C4*SQRT(2))</f>
        <v>0.0655113635511066</v>
      </c>
      <c r="D15" s="6" t="s">
        <v>35</v>
      </c>
      <c r="E15" s="6"/>
      <c r="F15" s="6" t="s">
        <v>75</v>
      </c>
    </row>
    <row r="16" spans="1:6" s="1" customFormat="1" ht="19.5" customHeight="1">
      <c r="A16" s="7" t="s">
        <v>40</v>
      </c>
      <c r="B16" s="6" t="s">
        <v>41</v>
      </c>
      <c r="C16" s="12">
        <f>(C4*SQRT(2)*C6)/(C14*C9)</f>
        <v>3.096428571428572</v>
      </c>
      <c r="D16" s="6" t="s">
        <v>44</v>
      </c>
      <c r="E16" s="6"/>
      <c r="F16" s="14" t="s">
        <v>54</v>
      </c>
    </row>
    <row r="17" spans="1:6" s="1" customFormat="1" ht="19.5" customHeight="1">
      <c r="A17" s="7" t="s">
        <v>42</v>
      </c>
      <c r="B17" s="6" t="s">
        <v>43</v>
      </c>
      <c r="C17" s="16">
        <f>((5*C11*C12)/(0.2*4.5*C9))*10^3</f>
        <v>583.3333333333333</v>
      </c>
      <c r="D17" s="6"/>
      <c r="E17" s="13" t="s">
        <v>45</v>
      </c>
      <c r="F17" s="6" t="s">
        <v>46</v>
      </c>
    </row>
    <row r="18" spans="1:6" s="1" customFormat="1" ht="19.5" customHeight="1">
      <c r="A18" s="7" t="s">
        <v>26</v>
      </c>
      <c r="B18" s="6" t="s">
        <v>27</v>
      </c>
      <c r="C18" s="16">
        <v>30</v>
      </c>
      <c r="D18" s="6" t="s">
        <v>28</v>
      </c>
      <c r="E18" s="14" t="s">
        <v>51</v>
      </c>
      <c r="F18" s="14" t="s">
        <v>52</v>
      </c>
    </row>
    <row r="19" spans="1:6" s="1" customFormat="1" ht="19.5" customHeight="1">
      <c r="A19" s="15" t="s">
        <v>48</v>
      </c>
      <c r="B19" s="14" t="s">
        <v>49</v>
      </c>
      <c r="C19" s="17">
        <f>(0.4*3.14*C16*(C14)^2)/(0.2*0.2*C18)</f>
        <v>0.27475</v>
      </c>
      <c r="D19" s="14" t="s">
        <v>50</v>
      </c>
      <c r="E19" s="6"/>
      <c r="F19" s="6" t="s">
        <v>55</v>
      </c>
    </row>
    <row r="20" spans="1:6" s="1" customFormat="1" ht="36" customHeight="1">
      <c r="A20" s="7" t="s">
        <v>56</v>
      </c>
      <c r="B20" s="6" t="s">
        <v>57</v>
      </c>
      <c r="C20" s="18">
        <f>(C4*SQRT(2)*C6)/((C11+0.7)*(1-C6))</f>
        <v>5.259471926180932</v>
      </c>
      <c r="D20" s="6"/>
      <c r="E20" s="6"/>
      <c r="F20" s="11" t="s">
        <v>58</v>
      </c>
    </row>
    <row r="21" spans="1:6" s="1" customFormat="1" ht="30.75" customHeight="1">
      <c r="A21" s="28" t="s">
        <v>117</v>
      </c>
      <c r="B21" s="6" t="s">
        <v>59</v>
      </c>
      <c r="C21" s="16">
        <f>(C16*C14)*10^3/(C18*0.2)</f>
        <v>150.26019100214134</v>
      </c>
      <c r="D21" s="6" t="s">
        <v>60</v>
      </c>
      <c r="E21" s="11"/>
      <c r="F21" s="6" t="s">
        <v>61</v>
      </c>
    </row>
    <row r="22" spans="1:6" s="1" customFormat="1" ht="24.75" customHeight="1">
      <c r="A22" s="7" t="s">
        <v>62</v>
      </c>
      <c r="B22" s="6" t="s">
        <v>63</v>
      </c>
      <c r="C22" s="9">
        <f>C21/C20</f>
        <v>28.56944444444444</v>
      </c>
      <c r="D22" s="6" t="s">
        <v>60</v>
      </c>
      <c r="E22" s="6"/>
      <c r="F22" s="6" t="s">
        <v>64</v>
      </c>
    </row>
    <row r="23" spans="1:6" s="1" customFormat="1" ht="33" customHeight="1">
      <c r="A23" s="7" t="s">
        <v>65</v>
      </c>
      <c r="B23" s="6" t="s">
        <v>66</v>
      </c>
      <c r="C23" s="18">
        <f>C22*15/(C11+0.7)</f>
        <v>22.91666666666666</v>
      </c>
      <c r="D23" s="6"/>
      <c r="E23" s="11" t="s">
        <v>67</v>
      </c>
      <c r="F23" s="11" t="s">
        <v>68</v>
      </c>
    </row>
    <row r="24" spans="1:6" s="1" customFormat="1" ht="19.5" customHeight="1">
      <c r="A24" s="7" t="s">
        <v>72</v>
      </c>
      <c r="B24" s="6" t="s">
        <v>73</v>
      </c>
      <c r="C24" s="8">
        <f>2*SQRT(C15/(4.5*3.14))</f>
        <v>0.1361812242786486</v>
      </c>
      <c r="D24" s="6" t="s">
        <v>74</v>
      </c>
      <c r="E24" s="22" t="s">
        <v>77</v>
      </c>
      <c r="F24" s="6" t="s">
        <v>76</v>
      </c>
    </row>
    <row r="25" spans="1:6" s="1" customFormat="1" ht="19.5" customHeight="1">
      <c r="A25" s="7" t="s">
        <v>78</v>
      </c>
      <c r="B25" s="24" t="s">
        <v>79</v>
      </c>
      <c r="C25" s="8">
        <f>2*SQRT(C12/(4.5*3.14))</f>
        <v>0.3147697121570572</v>
      </c>
      <c r="D25" s="6" t="s">
        <v>74</v>
      </c>
      <c r="E25" s="23"/>
      <c r="F25" s="6" t="s">
        <v>80</v>
      </c>
    </row>
    <row r="26" spans="1:6" s="1" customFormat="1" ht="19.5" customHeight="1">
      <c r="A26" s="20" t="s">
        <v>83</v>
      </c>
      <c r="B26" s="6"/>
      <c r="C26" s="6"/>
      <c r="D26" s="6"/>
      <c r="E26" s="11"/>
      <c r="F26" s="6"/>
    </row>
    <row r="27" spans="1:6" s="1" customFormat="1" ht="19.5" customHeight="1">
      <c r="A27" s="21" t="s">
        <v>84</v>
      </c>
      <c r="B27" s="19" t="s">
        <v>85</v>
      </c>
      <c r="C27" s="16"/>
      <c r="D27" s="29" t="s">
        <v>104</v>
      </c>
      <c r="E27" s="10"/>
      <c r="F27" s="19" t="s">
        <v>86</v>
      </c>
    </row>
    <row r="28" spans="1:6" s="1" customFormat="1" ht="19.5" customHeight="1">
      <c r="A28" s="21" t="s">
        <v>87</v>
      </c>
      <c r="B28" s="19" t="s">
        <v>88</v>
      </c>
      <c r="C28" s="6"/>
      <c r="D28" s="24" t="s">
        <v>104</v>
      </c>
      <c r="E28" s="19" t="s">
        <v>90</v>
      </c>
      <c r="F28" s="19" t="s">
        <v>89</v>
      </c>
    </row>
    <row r="29" spans="1:6" s="1" customFormat="1" ht="19.5" customHeight="1">
      <c r="A29" s="25" t="s">
        <v>91</v>
      </c>
      <c r="B29" s="24" t="s">
        <v>92</v>
      </c>
      <c r="C29" s="6">
        <f>2*SQRT(2)*C5</f>
        <v>749.5331880577404</v>
      </c>
      <c r="D29" s="24" t="s">
        <v>104</v>
      </c>
      <c r="E29" s="6"/>
      <c r="F29" s="24" t="s">
        <v>93</v>
      </c>
    </row>
    <row r="30" spans="1:6" s="1" customFormat="1" ht="19.5" customHeight="1">
      <c r="A30" s="26"/>
      <c r="B30" s="24" t="s">
        <v>94</v>
      </c>
      <c r="C30" s="16">
        <f>(5*C8)/(C4*SQRT(2))</f>
        <v>0.32755681775553297</v>
      </c>
      <c r="D30" s="24" t="s">
        <v>35</v>
      </c>
      <c r="E30" s="24" t="s">
        <v>96</v>
      </c>
      <c r="F30" s="24" t="s">
        <v>99</v>
      </c>
    </row>
    <row r="31" spans="1:6" s="1" customFormat="1" ht="19.5" customHeight="1">
      <c r="A31" s="27"/>
      <c r="B31" s="24" t="s">
        <v>95</v>
      </c>
      <c r="C31" s="16">
        <f>(2*0.7*C4)/(C5*SQRT(2))</f>
        <v>0.3175309696649024</v>
      </c>
      <c r="D31" s="24" t="s">
        <v>103</v>
      </c>
      <c r="E31" s="24" t="s">
        <v>97</v>
      </c>
      <c r="F31" s="24" t="s">
        <v>98</v>
      </c>
    </row>
    <row r="32" spans="1:6" s="1" customFormat="1" ht="19.5" customHeight="1">
      <c r="A32" s="28" t="s">
        <v>100</v>
      </c>
      <c r="B32" s="24" t="s">
        <v>101</v>
      </c>
      <c r="C32" s="18">
        <f>C8</f>
        <v>7.874999999999999</v>
      </c>
      <c r="D32" s="24" t="s">
        <v>102</v>
      </c>
      <c r="E32" s="24" t="s">
        <v>105</v>
      </c>
      <c r="F32" s="6"/>
    </row>
    <row r="33" spans="1:6" s="1" customFormat="1" ht="19.5" customHeight="1">
      <c r="A33" s="28" t="s">
        <v>106</v>
      </c>
      <c r="B33" s="24" t="s">
        <v>107</v>
      </c>
      <c r="C33" s="18">
        <f>C12*1000</f>
        <v>350</v>
      </c>
      <c r="D33" s="24" t="s">
        <v>102</v>
      </c>
      <c r="E33" s="24" t="s">
        <v>108</v>
      </c>
      <c r="F33" s="29" t="s">
        <v>109</v>
      </c>
    </row>
    <row r="34" spans="1:6" s="1" customFormat="1" ht="33" customHeight="1">
      <c r="A34" s="30" t="s">
        <v>115</v>
      </c>
      <c r="B34" s="24" t="s">
        <v>111</v>
      </c>
      <c r="C34" s="12">
        <f>(2*C8)/(C4*SQRT(2)*0.5)*1.5</f>
        <v>0.39306818130663956</v>
      </c>
      <c r="D34" s="24" t="s">
        <v>35</v>
      </c>
      <c r="E34" s="29" t="s">
        <v>112</v>
      </c>
      <c r="F34" s="29" t="s">
        <v>113</v>
      </c>
    </row>
    <row r="35" spans="1:6" s="1" customFormat="1" ht="50.25" customHeight="1">
      <c r="A35" s="31" t="s">
        <v>116</v>
      </c>
      <c r="B35" s="24" t="s">
        <v>114</v>
      </c>
      <c r="C35" s="12" t="str">
        <f>IF(C8&lt;50,"9",IF(C8&lt;100,"11",IF(C8&lt;200,"13")))</f>
        <v>9</v>
      </c>
      <c r="D35" s="24" t="s">
        <v>74</v>
      </c>
      <c r="E35" s="29" t="s">
        <v>118</v>
      </c>
      <c r="F35" s="6"/>
    </row>
    <row r="36" spans="1:6" s="1" customFormat="1" ht="48" customHeight="1">
      <c r="A36" s="30" t="s">
        <v>119</v>
      </c>
      <c r="B36" s="24" t="s">
        <v>120</v>
      </c>
      <c r="C36" s="12">
        <f>(1.2*C5*SQRT(2))/(0.9*0.85)</f>
        <v>587.8691671041101</v>
      </c>
      <c r="D36" s="24" t="s">
        <v>121</v>
      </c>
      <c r="E36" s="29" t="s">
        <v>123</v>
      </c>
      <c r="F36" s="29" t="s">
        <v>122</v>
      </c>
    </row>
    <row r="37" spans="1:6" s="1" customFormat="1" ht="63.75" customHeight="1">
      <c r="A37" s="28" t="s">
        <v>125</v>
      </c>
      <c r="B37" s="24" t="s">
        <v>124</v>
      </c>
      <c r="C37" s="18">
        <f>1/(((2*3.14*50000)^2)*2.2*10^-9)*10^3</f>
        <v>4.61018149362504</v>
      </c>
      <c r="D37" s="24" t="s">
        <v>44</v>
      </c>
      <c r="E37" s="29" t="s">
        <v>130</v>
      </c>
      <c r="F37" s="24" t="s">
        <v>131</v>
      </c>
    </row>
    <row r="38" spans="1:6" s="1" customFormat="1" ht="19.5" customHeight="1">
      <c r="A38" s="28" t="s">
        <v>126</v>
      </c>
      <c r="B38" s="6"/>
      <c r="C38" s="16"/>
      <c r="D38" s="6"/>
      <c r="E38" s="24" t="s">
        <v>129</v>
      </c>
      <c r="F38" s="6"/>
    </row>
    <row r="39" spans="1:6" s="1" customFormat="1" ht="22.5" customHeight="1">
      <c r="A39" s="24" t="s">
        <v>127</v>
      </c>
      <c r="B39" s="24" t="s">
        <v>132</v>
      </c>
      <c r="C39" s="12">
        <f>2*SQRT((C8/C4*SQRT(2))/(4.5*3.14))</f>
        <v>0.19258933431543707</v>
      </c>
      <c r="D39" s="24" t="s">
        <v>133</v>
      </c>
      <c r="E39" s="6"/>
      <c r="F39" s="6" t="s">
        <v>76</v>
      </c>
    </row>
    <row r="40" spans="1:6" s="1" customFormat="1" ht="37.5" customHeight="1">
      <c r="A40" s="29" t="s">
        <v>136</v>
      </c>
      <c r="B40" s="24" t="s">
        <v>134</v>
      </c>
      <c r="C40" s="12">
        <v>0.47</v>
      </c>
      <c r="D40" s="24" t="s">
        <v>102</v>
      </c>
      <c r="E40" s="29" t="s">
        <v>135</v>
      </c>
      <c r="F40" s="6"/>
    </row>
    <row r="41" spans="1:6" s="1" customFormat="1" ht="50.25">
      <c r="A41" s="24" t="s">
        <v>128</v>
      </c>
      <c r="B41" s="24" t="s">
        <v>137</v>
      </c>
      <c r="C41" s="24">
        <v>2200</v>
      </c>
      <c r="D41" s="24" t="s">
        <v>138</v>
      </c>
      <c r="E41" s="29" t="s">
        <v>139</v>
      </c>
      <c r="F41" s="24"/>
    </row>
    <row r="42" spans="1:6" s="1" customFormat="1" ht="30.75">
      <c r="A42" s="24"/>
      <c r="B42" s="32"/>
      <c r="C42" s="35"/>
      <c r="D42" s="32"/>
      <c r="E42" s="32"/>
      <c r="F42" s="32"/>
    </row>
    <row r="43" spans="1:6" s="1" customFormat="1" ht="30.75">
      <c r="A43" s="24"/>
      <c r="B43" s="32"/>
      <c r="C43" s="32"/>
      <c r="D43" s="32"/>
      <c r="E43" s="32"/>
      <c r="F43" s="32"/>
    </row>
    <row r="44" s="1" customFormat="1" ht="30.75"/>
    <row r="45" s="1" customFormat="1" ht="30.75"/>
    <row r="46" s="1" customFormat="1" ht="30.75"/>
  </sheetData>
  <sheetProtection/>
  <mergeCells count="3">
    <mergeCell ref="A1:F1"/>
    <mergeCell ref="E24:E25"/>
    <mergeCell ref="A29:A31"/>
  </mergeCells>
  <printOptions/>
  <pageMargins left="0.2362204724409449" right="0.1968503937007874" top="0.31496062992125984" bottom="0.275590551181102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GF-lenovo</cp:lastModifiedBy>
  <cp:lastPrinted>2016-06-14T04:03:30Z</cp:lastPrinted>
  <dcterms:created xsi:type="dcterms:W3CDTF">1996-12-17T01:32:42Z</dcterms:created>
  <dcterms:modified xsi:type="dcterms:W3CDTF">2016-06-14T09:30:55Z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