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5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<sst xmlns="http://schemas.openxmlformats.org/spreadsheetml/2006/main" count="68">
  <si>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将max power点设置在fr处，恒流区设置在f&gt;fr的区域</t>
  </si>
  <si>
    <t>输入指标</t>
  </si>
  <si>
    <t>计算值</t>
  </si>
  <si>
    <t>实际取值</t>
  </si>
  <si>
    <t>输入电压最小值 VinMin(V)</t>
  </si>
  <si>
    <t>额定输入电压 VinNom(V)</t>
  </si>
  <si>
    <t>输入电压最大值 VinMax(V)</t>
  </si>
  <si>
    <t>输入电压 Vout(V)</t>
  </si>
  <si>
    <t>输出电流 Iout(A)</t>
  </si>
  <si>
    <t>输出功率Pout(W)</t>
  </si>
  <si>
    <t>设计效率</t>
  </si>
  <si>
    <t>设置谐振频率 Fr(kHz)</t>
  </si>
  <si>
    <t>控制IC死区时间Td(ns)</t>
  </si>
  <si>
    <t>预估电路杂散电容Cstray(pF)</t>
  </si>
  <si>
    <t>MOSFET Coss(pF)</t>
  </si>
  <si>
    <t>变压器匝比</t>
  </si>
  <si>
    <t>最高输入电压增益Gmin</t>
  </si>
  <si>
    <t>最低输入电压增益Gmax</t>
  </si>
  <si>
    <t>等效负载电阻RL(Ohm)</t>
  </si>
  <si>
    <t>等效反射电阻Rac</t>
  </si>
  <si>
    <t>预设K值</t>
  </si>
  <si>
    <t>计算得Q值</t>
  </si>
  <si>
    <t>最小开关频率Fmin(kHz)</t>
  </si>
  <si>
    <t>最大开关频率Fmax(kHz)</t>
  </si>
  <si>
    <t>变压器漏感Ls(uH)</t>
  </si>
  <si>
    <t>谐振电容Cr(nF)</t>
  </si>
  <si>
    <t>总谐振电感Lr+Ls(uH)</t>
  </si>
  <si>
    <t>外置谐振电感Lr</t>
  </si>
  <si>
    <t>励磁电感Lp(uH)</t>
  </si>
  <si>
    <t>核算Im(A)</t>
  </si>
  <si>
    <t>核算Ip(A)</t>
  </si>
  <si>
    <t>若不满足Im&gt;Ip，需降低Q值或增大Lr+Lp</t>
  </si>
  <si>
    <t>初级电流有效值Irms(A)</t>
  </si>
  <si>
    <t>MOSFET电压最大值Vmos(V)</t>
  </si>
  <si>
    <t>MOSFET电流有效值Irms_mos(A)</t>
  </si>
  <si>
    <t>损耗Pconduct_loss(*Rds)</t>
  </si>
  <si>
    <t>*Rds</t>
  </si>
  <si>
    <t>次级整流管电压Vd_max(V)</t>
  </si>
  <si>
    <t>至少留20%裕量</t>
  </si>
  <si>
    <t>次级整流管电流Id_avg(A)</t>
  </si>
  <si>
    <t>至少留40%裕量</t>
  </si>
  <si>
    <t>次级整流管导通压降Vf(V)</t>
  </si>
  <si>
    <t>损耗Pd_conduct_lss(W)</t>
  </si>
  <si>
    <t>谐振电容电流有效值Icr_rms(A)</t>
  </si>
  <si>
    <t>谐振电容最大电压值Vcr_max(V)</t>
  </si>
  <si>
    <t>?</t>
  </si>
  <si>
    <t>一般取值630V</t>
  </si>
  <si>
    <t>输出电容电流有效值Ico_rms(A)</t>
  </si>
  <si>
    <t>变压器实际匝比Nreal</t>
  </si>
  <si>
    <r>
      <rPr>
        <sz val="11"/>
        <color theme="1"/>
        <rFont val="宋体"/>
        <charset val="134"/>
      </rPr>
      <t>所选磁芯Ae值（mm</t>
    </r>
    <r>
      <rPr>
        <vertAlign val="super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</si>
  <si>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磁芯</t>
    </r>
    <r>
      <rPr>
        <sz val="11"/>
        <color theme="1"/>
        <rFont val="微软雅黑"/>
        <charset val="134"/>
      </rPr>
      <t>∆</t>
    </r>
    <r>
      <rPr>
        <sz val="11"/>
        <color theme="1"/>
        <rFont val="宋体"/>
        <charset val="134"/>
      </rPr>
      <t>B(T)</t>
    </r>
  </si>
  <si>
    <t>初级最小匝数Np_min(Ts)</t>
  </si>
  <si>
    <t>选择次级匝数，计算初级匝数使其大于此值</t>
  </si>
  <si>
    <t>次级匝数Ns(Ts)</t>
  </si>
  <si>
    <t>实际初级匝数Np_real(Ts)</t>
  </si>
  <si>
    <t>磁芯快速选型Wt(g)</t>
  </si>
  <si>
    <t>Wt按1g/5W,留余20%</t>
  </si>
  <si>
    <r>
      <rPr>
        <sz val="11"/>
        <color theme="1"/>
        <rFont val="宋体"/>
        <charset val="134"/>
      </rPr>
      <t>电流密度J(A/mm</t>
    </r>
    <r>
      <rPr>
        <vertAlign val="super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)</t>
    </r>
  </si>
  <si>
    <r>
      <rPr>
        <sz val="11"/>
        <color theme="1"/>
        <rFont val="宋体"/>
        <charset val="134"/>
      </rPr>
      <t>趋肤深度(100</t>
    </r>
    <r>
      <rPr>
        <sz val="11"/>
        <color theme="1"/>
        <rFont val="微软雅黑"/>
        <charset val="134"/>
      </rPr>
      <t>℃满载时</t>
    </r>
    <r>
      <rPr>
        <sz val="11"/>
        <color theme="1"/>
        <rFont val="宋体"/>
        <charset val="134"/>
      </rPr>
      <t>)(mm)</t>
    </r>
  </si>
  <si>
    <t>建议使用导线直径(mm)</t>
  </si>
  <si>
    <r>
      <rPr>
        <sz val="11"/>
        <color theme="1"/>
        <rFont val="宋体"/>
        <charset val="134"/>
      </rPr>
      <t>初级导线截面积(mm</t>
    </r>
    <r>
      <rPr>
        <vertAlign val="super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)</t>
    </r>
  </si>
  <si>
    <t>建议初级导线股数</t>
  </si>
  <si>
    <t>0.45*1条</t>
  </si>
  <si>
    <r>
      <rPr>
        <sz val="11"/>
        <color theme="1"/>
        <rFont val="宋体"/>
        <charset val="134"/>
      </rPr>
      <t>次级导线截面积(mm</t>
    </r>
    <r>
      <rPr>
        <vertAlign val="super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)</t>
    </r>
  </si>
  <si>
    <t>0.6*4条</t>
  </si>
  <si>
    <t>磁芯窗口使用系数K</t>
  </si>
  <si>
    <r>
      <rPr>
        <sz val="11"/>
        <color theme="1"/>
        <rFont val="宋体"/>
        <charset val="134"/>
      </rPr>
      <t>理论需要窗口面积(mm</t>
    </r>
    <r>
      <rPr>
        <vertAlign val="super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)</t>
    </r>
  </si>
  <si>
    <t>确保不超过所选磁芯的窗口面积Aw</t>
  </si>
</sst>
</file>

<file path=xl/styles.xml><?xml version="1.0" encoding="utf-8"?>
<styleSheet xmlns="http://schemas.openxmlformats.org/spreadsheetml/2006/main">
  <numFmts count="4">
    <numFmt numFmtId="7" formatCode="&quot;￥&quot;#,##0.00;&quot;￥&quot;\-#,##0.00"/>
    <numFmt numFmtId="41" formatCode="_ * #,##0_ ;_ * \-#,##0_ ;_ * &quot;-&quot;_ ;_ @_ "/>
    <numFmt numFmtId="43" formatCode="_ * #,##0.00_ ;_ * \-#,##0.00_ ;_ * &quot;-&quot;??_ ;_ @_ "/>
    <numFmt numFmtId="176" formatCode="\¥#,##0;\-\¥#,##0"/>
  </numFmts>
  <fonts count="24">
    <font>
      <sz val="11"/>
      <color theme="1"/>
      <name val="宋体"/>
      <charset val="134"/>
      <scheme val="minor"/>
    </font>
    <font>
      <b/>
      <sz val="16"/>
      <color rgb="FF333333"/>
      <name val="&amp;quot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</font>
    <font>
      <vertAlign val="superscript"/>
      <sz val="11"/>
      <color theme="1"/>
      <name val="宋体"/>
      <charset val="134"/>
    </font>
    <font>
      <sz val="11"/>
      <color theme="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8"/>
        <bgColor rgb="FFFFFFFF"/>
      </patternFill>
    </fill>
  </fills>
  <borders count="1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38100</xdr:colOff>
      <xdr:row>42</xdr:row>
      <xdr:rowOff>38100</xdr:rowOff>
    </xdr:from>
    <xdr:to>
      <xdr:col>13</xdr:col>
      <xdr:colOff>523875</xdr:colOff>
      <xdr:row>52</xdr:row>
      <xdr:rowOff>114300</xdr:rowOff>
    </xdr:to>
    <xdr:pic>
      <xdr:nvPicPr>
        <xdr:cNvPr id="2" name="图片 1" descr="xl/media/image1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82565" y="7802880"/>
          <a:ext cx="5423535" cy="1905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zoomScale="115" zoomScaleNormal="115" topLeftCell="A37" workbookViewId="0">
      <selection activeCell="D52" sqref="D52"/>
    </sheetView>
  </sheetViews>
  <sheetFormatPr defaultColWidth="9" defaultRowHeight="14.4" outlineLevelCol="4"/>
  <cols>
    <col min="1" max="1" width="28.7962962962963" customWidth="1"/>
    <col min="2" max="2" width="12.9537037037037" customWidth="1"/>
    <col min="3" max="3" width="12.8333333333333" customWidth="1"/>
    <col min="4" max="4" width="12.8888888888889"/>
  </cols>
  <sheetData>
    <row r="1" ht="21" spans="1:1">
      <c r="A1" s="1" t="s">
        <v>0</v>
      </c>
    </row>
    <row r="2" spans="1:3">
      <c r="A2" t="s">
        <v>1</v>
      </c>
      <c r="B2" t="s">
        <v>2</v>
      </c>
      <c r="C2" t="s">
        <v>3</v>
      </c>
    </row>
    <row r="3" spans="1:2">
      <c r="A3" t="s">
        <v>4</v>
      </c>
      <c r="B3">
        <v>350</v>
      </c>
    </row>
    <row r="4" spans="1:2">
      <c r="A4" t="s">
        <v>5</v>
      </c>
      <c r="B4">
        <v>400</v>
      </c>
    </row>
    <row r="5" spans="1:2">
      <c r="A5" t="s">
        <v>6</v>
      </c>
      <c r="B5">
        <v>420</v>
      </c>
    </row>
    <row r="6" spans="1:2">
      <c r="A6" t="s">
        <v>7</v>
      </c>
      <c r="B6" s="2">
        <v>60</v>
      </c>
    </row>
    <row r="7" spans="1:2">
      <c r="A7" t="s">
        <v>8</v>
      </c>
      <c r="B7" s="2">
        <v>6</v>
      </c>
    </row>
    <row r="8" spans="1:2">
      <c r="A8" t="s">
        <v>9</v>
      </c>
      <c r="B8" s="3">
        <f>B6*B7</f>
        <v>360</v>
      </c>
    </row>
    <row r="9" spans="1:2">
      <c r="A9" t="s">
        <v>10</v>
      </c>
      <c r="B9">
        <v>0.95</v>
      </c>
    </row>
    <row r="10" spans="1:2">
      <c r="A10" t="s">
        <v>11</v>
      </c>
      <c r="B10" s="2">
        <v>100</v>
      </c>
    </row>
    <row r="11" spans="1:2">
      <c r="A11" t="s">
        <v>12</v>
      </c>
      <c r="B11">
        <v>200</v>
      </c>
    </row>
    <row r="12" spans="1:2">
      <c r="A12" t="s">
        <v>13</v>
      </c>
      <c r="B12">
        <v>120</v>
      </c>
    </row>
    <row r="13" spans="1:2">
      <c r="A13" t="s">
        <v>14</v>
      </c>
      <c r="B13">
        <v>190</v>
      </c>
    </row>
    <row r="15" spans="1:3">
      <c r="A15" t="s">
        <v>15</v>
      </c>
      <c r="B15" s="4">
        <f>B4/2/(B6+0.7)</f>
        <v>3.29489291598023</v>
      </c>
      <c r="C15">
        <f>B15*B16</f>
        <v>3.13799325331451</v>
      </c>
    </row>
    <row r="16" spans="1:2">
      <c r="A16" t="s">
        <v>16</v>
      </c>
      <c r="B16" s="3">
        <f>2*B15*(B6+0.7)/B5</f>
        <v>0.952380952380952</v>
      </c>
    </row>
    <row r="17" spans="1:2">
      <c r="A17" t="s">
        <v>17</v>
      </c>
      <c r="B17" s="3">
        <f>2*B15*(B6+0.7)/B3</f>
        <v>1.14285714285714</v>
      </c>
    </row>
    <row r="19" spans="1:2">
      <c r="A19" t="s">
        <v>18</v>
      </c>
      <c r="B19" s="3">
        <f>B6/B7</f>
        <v>10</v>
      </c>
    </row>
    <row r="20" spans="1:2">
      <c r="A20" t="s">
        <v>19</v>
      </c>
      <c r="B20" s="3">
        <f>(B15^2)*8*B19/(3.14^2)</f>
        <v>88.0873003186881</v>
      </c>
    </row>
    <row r="22" spans="1:2">
      <c r="A22" t="s">
        <v>20</v>
      </c>
      <c r="B22" s="2">
        <v>4.5</v>
      </c>
    </row>
    <row r="23" spans="1:3">
      <c r="A23" t="s">
        <v>21</v>
      </c>
      <c r="B23" s="3">
        <f>C23</f>
        <v>0.54693585052406</v>
      </c>
      <c r="C23" s="3">
        <f>0.95/(B22*B17)*SQRT((B22+B17^2/(B17^2-1)))</f>
        <v>0.54693585052406</v>
      </c>
    </row>
    <row r="24" spans="1:2">
      <c r="A24" t="s">
        <v>22</v>
      </c>
      <c r="B24" s="3">
        <f>B10/SQRT(1+B22*(1-1/B17^2))</f>
        <v>69.7633152315116</v>
      </c>
    </row>
    <row r="25" spans="1:2">
      <c r="A25" t="s">
        <v>23</v>
      </c>
      <c r="B25" s="3">
        <f>B10/SQRT(1+B22*(1-1/B16))</f>
        <v>113.592366849413</v>
      </c>
    </row>
    <row r="27" spans="1:3">
      <c r="A27" t="s">
        <v>24</v>
      </c>
      <c r="B27" s="5">
        <v>5</v>
      </c>
      <c r="C27" s="5"/>
    </row>
    <row r="28" spans="1:2">
      <c r="A28" t="s">
        <v>25</v>
      </c>
      <c r="B28" s="3">
        <f>1/(2*PI()*B10*B20*B23)*1000000</f>
        <v>33.0347055543054</v>
      </c>
    </row>
    <row r="29" spans="1:2">
      <c r="A29" t="s">
        <v>26</v>
      </c>
      <c r="B29" s="3">
        <f>B23*B20/(2*PI()*B10)*1000</f>
        <v>76.6778316487315</v>
      </c>
    </row>
    <row r="30" spans="1:3">
      <c r="A30" t="s">
        <v>27</v>
      </c>
      <c r="B30" s="3">
        <f>B29-B27</f>
        <v>71.6778316487315</v>
      </c>
      <c r="C30" s="3"/>
    </row>
    <row r="31" spans="1:3">
      <c r="A31" t="s">
        <v>28</v>
      </c>
      <c r="B31" s="3">
        <f>B22*B29</f>
        <v>345.050242419292</v>
      </c>
      <c r="C31" s="3"/>
    </row>
    <row r="33" spans="1:2">
      <c r="A33" t="s">
        <v>29</v>
      </c>
      <c r="B33" s="3">
        <f>B5/(4*B25*(B29+B31))*1000</f>
        <v>2.19183389030914</v>
      </c>
    </row>
    <row r="34" spans="1:2">
      <c r="A34" t="s">
        <v>30</v>
      </c>
      <c r="B34" s="3">
        <f>(2*B13+B12)*10^(-12)*B5/(B11*10^(-9))</f>
        <v>1.05</v>
      </c>
    </row>
    <row r="35" spans="1:1">
      <c r="A35" t="s">
        <v>31</v>
      </c>
    </row>
    <row r="37" spans="1:2">
      <c r="A37" t="s">
        <v>32</v>
      </c>
      <c r="B37" s="3">
        <f>B6/(8*B15*B19)*SQRT(2*B15^4*B19^2/(B29^2*B10^2)+8*3.14^2)</f>
        <v>2.02160221192779</v>
      </c>
    </row>
    <row r="38" spans="1:2">
      <c r="A38" t="s">
        <v>33</v>
      </c>
      <c r="B38" s="3">
        <f>B5</f>
        <v>420</v>
      </c>
    </row>
    <row r="39" spans="1:2">
      <c r="A39" t="s">
        <v>34</v>
      </c>
      <c r="B39" s="3">
        <f>B37/SQRT(2)</f>
        <v>1.42948863291586</v>
      </c>
    </row>
    <row r="40" spans="1:3">
      <c r="A40" t="s">
        <v>35</v>
      </c>
      <c r="B40" s="3">
        <f>B39^2</f>
        <v>2.04343775163566</v>
      </c>
      <c r="C40" t="s">
        <v>36</v>
      </c>
    </row>
    <row r="42" spans="1:3">
      <c r="A42" t="s">
        <v>37</v>
      </c>
      <c r="B42" s="3">
        <f>2*B6</f>
        <v>120</v>
      </c>
      <c r="C42" t="s">
        <v>38</v>
      </c>
    </row>
    <row r="43" spans="1:3">
      <c r="A43" t="s">
        <v>39</v>
      </c>
      <c r="B43" s="3">
        <f>B7/2</f>
        <v>3</v>
      </c>
      <c r="C43" t="s">
        <v>40</v>
      </c>
    </row>
    <row r="44" spans="1:2">
      <c r="A44" t="s">
        <v>41</v>
      </c>
      <c r="B44" s="6">
        <v>1</v>
      </c>
    </row>
    <row r="45" spans="1:2">
      <c r="A45" t="s">
        <v>42</v>
      </c>
      <c r="B45" s="3">
        <f>B44*B43</f>
        <v>3</v>
      </c>
    </row>
    <row r="47" spans="1:2">
      <c r="A47" t="s">
        <v>43</v>
      </c>
      <c r="B47" s="3">
        <f>B37</f>
        <v>2.02160221192779</v>
      </c>
    </row>
    <row r="48" spans="1:4">
      <c r="A48" s="7" t="s">
        <v>44</v>
      </c>
      <c r="B48" s="7">
        <f>B5/2+SQRT(2)*B37/(2*PI()*B10*1000*B28*10^(-9))</f>
        <v>347.740099816076</v>
      </c>
      <c r="C48" s="8" t="s">
        <v>45</v>
      </c>
      <c r="D48" t="s">
        <v>46</v>
      </c>
    </row>
    <row r="50" spans="1:2">
      <c r="A50" t="s">
        <v>47</v>
      </c>
      <c r="B50" s="3">
        <f>SQRT((PI()^2-8)/8)*B7</f>
        <v>2.90055508565207</v>
      </c>
    </row>
    <row r="52" spans="1:2">
      <c r="A52" t="s">
        <v>48</v>
      </c>
      <c r="B52" s="3">
        <f>B15*SQRT((B22+1)/B22)</f>
        <v>3.64264117556881</v>
      </c>
    </row>
    <row r="53" ht="15.6" spans="1:2">
      <c r="A53" t="s">
        <v>49</v>
      </c>
      <c r="B53" s="2">
        <v>161</v>
      </c>
    </row>
    <row r="54" ht="15.6" spans="1:2">
      <c r="A54" t="s">
        <v>50</v>
      </c>
      <c r="B54">
        <v>0.25</v>
      </c>
    </row>
    <row r="55" spans="1:3">
      <c r="A55" t="s">
        <v>51</v>
      </c>
      <c r="B55" s="3">
        <f>B52*(B6+2*B44)/(2*B24*B54*B53)*1000</f>
        <v>40.2147238687251</v>
      </c>
      <c r="C55" t="s">
        <v>52</v>
      </c>
    </row>
    <row r="56" ht="15.15"/>
    <row r="57" ht="15.15" spans="1:4">
      <c r="A57" t="s">
        <v>53</v>
      </c>
      <c r="B57">
        <v>13</v>
      </c>
      <c r="C57" s="9">
        <v>13</v>
      </c>
      <c r="D57" s="10">
        <v>13</v>
      </c>
    </row>
    <row r="58" ht="15.15" spans="1:5">
      <c r="A58" t="s">
        <v>54</v>
      </c>
      <c r="B58" s="3">
        <f>B57*B52</f>
        <v>47.3543352823945</v>
      </c>
      <c r="C58">
        <f>C57*B15</f>
        <v>42.833607907743</v>
      </c>
      <c r="D58" s="11">
        <f>D57*C15</f>
        <v>40.7939122930886</v>
      </c>
      <c r="E58" s="12"/>
    </row>
    <row r="59" ht="15.15"/>
    <row r="60" spans="1:3">
      <c r="A60" t="s">
        <v>55</v>
      </c>
      <c r="B60">
        <f>B8*1.2/5</f>
        <v>86.4</v>
      </c>
      <c r="C60" t="s">
        <v>56</v>
      </c>
    </row>
    <row r="62" ht="15.6" spans="1:2">
      <c r="A62" t="s">
        <v>57</v>
      </c>
      <c r="B62">
        <v>10</v>
      </c>
    </row>
    <row r="63" ht="15.6" spans="1:2">
      <c r="A63" t="s">
        <v>58</v>
      </c>
      <c r="B63" s="3">
        <f>7.6/SQRT(B10*1000)*10</f>
        <v>0.240333102172797</v>
      </c>
    </row>
    <row r="64" spans="1:2">
      <c r="A64" t="s">
        <v>59</v>
      </c>
      <c r="B64">
        <v>0.6</v>
      </c>
    </row>
    <row r="65" ht="15.6" spans="1:2">
      <c r="A65" t="s">
        <v>60</v>
      </c>
      <c r="B65" s="3">
        <f>B37/B62</f>
        <v>0.202160221192779</v>
      </c>
    </row>
    <row r="66" spans="1:4">
      <c r="A66" t="s">
        <v>61</v>
      </c>
      <c r="B66" s="3">
        <f>B65/((B64/2)^2*PI())</f>
        <v>0.714995522208481</v>
      </c>
      <c r="C66">
        <v>1</v>
      </c>
      <c r="D66" t="s">
        <v>62</v>
      </c>
    </row>
    <row r="67" ht="15.6" spans="1:2">
      <c r="A67" t="s">
        <v>63</v>
      </c>
      <c r="B67" s="3">
        <f>B43*2.22/B62</f>
        <v>0.666</v>
      </c>
    </row>
    <row r="68" spans="1:4">
      <c r="A68" t="s">
        <v>61</v>
      </c>
      <c r="B68" s="3">
        <f>B67/((B64/2)^2*PI())</f>
        <v>2.35549315776005</v>
      </c>
      <c r="C68">
        <v>6</v>
      </c>
      <c r="D68" t="s">
        <v>64</v>
      </c>
    </row>
    <row r="70" spans="1:2">
      <c r="A70" t="s">
        <v>65</v>
      </c>
      <c r="B70">
        <v>0.3</v>
      </c>
    </row>
    <row r="71" ht="15.6" spans="1:3">
      <c r="A71" t="s">
        <v>66</v>
      </c>
      <c r="B71" s="3">
        <f>(B64/2)^2*PI()*(C66*C58+C68*C57*2)/B70</f>
        <v>187.396260566916</v>
      </c>
      <c r="C71" t="s">
        <v>67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GZUY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</dc:creator>
  <cp:lastModifiedBy>Administrator</cp:lastModifiedBy>
  <cp:revision>3</cp:revision>
  <dcterms:created xsi:type="dcterms:W3CDTF">2018-03-02T07:52:00Z</dcterms:created>
  <dcterms:modified xsi:type="dcterms:W3CDTF">2018-03-03T14:09:23Z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