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65" yWindow="150" windowWidth="12270" windowHeight="9570" tabRatio="550" firstSheet="1" activeTab="1"/>
  </bookViews>
  <sheets>
    <sheet name="Macro1" sheetId="1" state="veryHidden" r:id="rId1"/>
    <sheet name="高级版" sheetId="2" r:id="rId2"/>
    <sheet name="60W方案参考" sheetId="3" r:id="rId3"/>
    <sheet name="常用变压器磁芯" sheetId="4" r:id="rId4"/>
  </sheets>
  <definedNames>
    <definedName name="integral" localSheetId="1">#REF!</definedName>
    <definedName name="integral">#REF!</definedName>
    <definedName name="Iout">#REF!</definedName>
    <definedName name="Vacmin">#REF!</definedName>
    <definedName name="Vdf">#REF!</definedName>
    <definedName name="Vout">#REF!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C33" authorId="0">
      <text>
        <r>
          <rPr>
            <sz val="9"/>
            <rFont val="宋体"/>
            <family val="0"/>
          </rPr>
          <t>推荐值为</t>
        </r>
        <r>
          <rPr>
            <sz val="9"/>
            <rFont val="Tahoma"/>
            <family val="2"/>
          </rPr>
          <t>5.1~10K</t>
        </r>
      </text>
    </comment>
  </commentList>
</comments>
</file>

<file path=xl/sharedStrings.xml><?xml version="1.0" encoding="utf-8"?>
<sst xmlns="http://schemas.openxmlformats.org/spreadsheetml/2006/main" count="267" uniqueCount="170">
  <si>
    <t>Io</t>
  </si>
  <si>
    <t>A</t>
  </si>
  <si>
    <t>Bmax</t>
  </si>
  <si>
    <t>Lp</t>
  </si>
  <si>
    <t>uH</t>
  </si>
  <si>
    <t>Np</t>
  </si>
  <si>
    <t>Ns</t>
  </si>
  <si>
    <t>Na</t>
  </si>
  <si>
    <t>Vo</t>
  </si>
  <si>
    <t>Vdd</t>
  </si>
  <si>
    <t>Ω</t>
  </si>
  <si>
    <t>输出功率</t>
  </si>
  <si>
    <t>磁芯</t>
  </si>
  <si>
    <t>型号</t>
  </si>
  <si>
    <r>
      <t>Ae(mm</t>
    </r>
    <r>
      <rPr>
        <sz val="11"/>
        <color indexed="8"/>
        <rFont val="宋体"/>
        <family val="0"/>
      </rPr>
      <t>²</t>
    </r>
    <r>
      <rPr>
        <sz val="11"/>
        <color indexed="8"/>
        <rFont val="宋体"/>
        <family val="0"/>
      </rPr>
      <t>)</t>
    </r>
  </si>
  <si>
    <r>
      <t>3</t>
    </r>
    <r>
      <rPr>
        <sz val="11"/>
        <color indexed="8"/>
        <rFont val="宋体"/>
        <family val="0"/>
      </rPr>
      <t>W</t>
    </r>
  </si>
  <si>
    <t>EE13</t>
  </si>
  <si>
    <r>
      <t>E</t>
    </r>
    <r>
      <rPr>
        <sz val="11"/>
        <color indexed="8"/>
        <rFont val="宋体"/>
        <family val="0"/>
      </rPr>
      <t>PC13</t>
    </r>
  </si>
  <si>
    <r>
      <t>4W</t>
    </r>
  </si>
  <si>
    <r>
      <t>E</t>
    </r>
    <r>
      <rPr>
        <sz val="11"/>
        <color indexed="8"/>
        <rFont val="宋体"/>
        <family val="0"/>
      </rPr>
      <t>FD15</t>
    </r>
  </si>
  <si>
    <r>
      <t>5W</t>
    </r>
  </si>
  <si>
    <r>
      <t>E</t>
    </r>
    <r>
      <rPr>
        <sz val="11"/>
        <color indexed="8"/>
        <rFont val="宋体"/>
        <family val="0"/>
      </rPr>
      <t>E16</t>
    </r>
  </si>
  <si>
    <r>
      <t>E</t>
    </r>
    <r>
      <rPr>
        <sz val="11"/>
        <color indexed="8"/>
        <rFont val="宋体"/>
        <family val="0"/>
      </rPr>
      <t>PC17</t>
    </r>
  </si>
  <si>
    <r>
      <t>R</t>
    </r>
    <r>
      <rPr>
        <sz val="11"/>
        <color indexed="8"/>
        <rFont val="宋体"/>
        <family val="0"/>
      </rPr>
      <t>M6</t>
    </r>
  </si>
  <si>
    <r>
      <t>6W</t>
    </r>
  </si>
  <si>
    <r>
      <t>7W</t>
    </r>
  </si>
  <si>
    <t>EE19</t>
  </si>
  <si>
    <r>
      <t>E</t>
    </r>
    <r>
      <rPr>
        <sz val="11"/>
        <color indexed="8"/>
        <rFont val="宋体"/>
        <family val="0"/>
      </rPr>
      <t>PC19</t>
    </r>
  </si>
  <si>
    <r>
      <t>8W</t>
    </r>
  </si>
  <si>
    <t>RM8</t>
  </si>
  <si>
    <r>
      <t>9W</t>
    </r>
  </si>
  <si>
    <r>
      <t>10W</t>
    </r>
  </si>
  <si>
    <t>EE20</t>
  </si>
  <si>
    <r>
      <t>E</t>
    </r>
    <r>
      <rPr>
        <sz val="11"/>
        <color indexed="8"/>
        <rFont val="宋体"/>
        <family val="0"/>
      </rPr>
      <t>FD20</t>
    </r>
  </si>
  <si>
    <r>
      <t>E</t>
    </r>
    <r>
      <rPr>
        <sz val="11"/>
        <color indexed="8"/>
        <rFont val="宋体"/>
        <family val="0"/>
      </rPr>
      <t>TD19</t>
    </r>
  </si>
  <si>
    <t>PQ2016</t>
  </si>
  <si>
    <r>
      <t>RM</t>
    </r>
    <r>
      <rPr>
        <sz val="11"/>
        <color indexed="8"/>
        <rFont val="宋体"/>
        <family val="0"/>
      </rPr>
      <t>10</t>
    </r>
  </si>
  <si>
    <r>
      <t>12W</t>
    </r>
  </si>
  <si>
    <r>
      <t>E</t>
    </r>
    <r>
      <rPr>
        <sz val="11"/>
        <color indexed="8"/>
        <rFont val="宋体"/>
        <family val="0"/>
      </rPr>
      <t>FD21</t>
    </r>
  </si>
  <si>
    <r>
      <t>15W</t>
    </r>
  </si>
  <si>
    <r>
      <t>E</t>
    </r>
    <r>
      <rPr>
        <sz val="11"/>
        <color indexed="8"/>
        <rFont val="宋体"/>
        <family val="0"/>
      </rPr>
      <t>E22</t>
    </r>
  </si>
  <si>
    <r>
      <t>E</t>
    </r>
    <r>
      <rPr>
        <sz val="11"/>
        <color indexed="8"/>
        <rFont val="宋体"/>
        <family val="0"/>
      </rPr>
      <t>PC25</t>
    </r>
  </si>
  <si>
    <t>ER2509</t>
  </si>
  <si>
    <t>EDR2602</t>
  </si>
  <si>
    <r>
      <t>18W</t>
    </r>
  </si>
  <si>
    <t>EE25</t>
  </si>
  <si>
    <r>
      <t>E</t>
    </r>
    <r>
      <rPr>
        <sz val="11"/>
        <color indexed="8"/>
        <rFont val="宋体"/>
        <family val="0"/>
      </rPr>
      <t>TD24</t>
    </r>
  </si>
  <si>
    <t>PQ2020</t>
  </si>
  <si>
    <r>
      <t>20W</t>
    </r>
  </si>
  <si>
    <t>ER2510</t>
  </si>
  <si>
    <r>
      <t>23W</t>
    </r>
  </si>
  <si>
    <t>PQ2620</t>
  </si>
  <si>
    <r>
      <t>25W</t>
    </r>
  </si>
  <si>
    <t>槽宽(mm)</t>
  </si>
  <si>
    <t>槽深(mm)</t>
  </si>
  <si>
    <t>注：</t>
  </si>
  <si>
    <r>
      <t>2</t>
    </r>
    <r>
      <rPr>
        <sz val="11"/>
        <color indexed="8"/>
        <rFont val="宋体"/>
        <family val="0"/>
      </rPr>
      <t>.3</t>
    </r>
    <r>
      <rPr>
        <sz val="11"/>
        <color indexed="8"/>
        <rFont val="宋体"/>
        <family val="0"/>
      </rPr>
      <t>～3.6</t>
    </r>
  </si>
  <si>
    <t>表格内提供的变压器参考选型只适用于反激50kHz以上频率。</t>
  </si>
  <si>
    <r>
      <t>PQ262</t>
    </r>
    <r>
      <rPr>
        <sz val="11"/>
        <color indexed="8"/>
        <rFont val="宋体"/>
        <family val="0"/>
      </rPr>
      <t>5</t>
    </r>
  </si>
  <si>
    <r>
      <t>E</t>
    </r>
    <r>
      <rPr>
        <sz val="11"/>
        <color indexed="8"/>
        <rFont val="宋体"/>
        <family val="0"/>
      </rPr>
      <t>DR2609</t>
    </r>
  </si>
  <si>
    <t>根据实际的输出功率，对应表格选择合适的磁芯，并留些余量。</t>
  </si>
  <si>
    <r>
      <t>E</t>
    </r>
    <r>
      <rPr>
        <sz val="11"/>
        <color indexed="8"/>
        <rFont val="宋体"/>
        <family val="0"/>
      </rPr>
      <t>DR3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09</t>
    </r>
  </si>
  <si>
    <t>常用型号磁芯选择与Ae值。    （不同厂家生产的磁芯，Ae值有所不同，下面的数据仅供参考）</t>
  </si>
  <si>
    <t>Vac_min</t>
  </si>
  <si>
    <t>Vac_max</t>
  </si>
  <si>
    <t>Freq_min</t>
  </si>
  <si>
    <t>Vor</t>
  </si>
  <si>
    <t>Nps</t>
  </si>
  <si>
    <r>
      <t>E</t>
    </r>
    <r>
      <rPr>
        <sz val="11"/>
        <color indexed="8"/>
        <rFont val="宋体"/>
        <family val="0"/>
      </rPr>
      <t>TD19</t>
    </r>
  </si>
  <si>
    <t>表格中的参数仅供参考，请以磁芯或变压器供应商的数据为准。</t>
  </si>
  <si>
    <t>以上数据仅供参考，应以实际数据为准。</t>
  </si>
  <si>
    <t>对于磁芯的Ae值、骨架的槽宽和槽深，各个厂家的标准不同，具体数值</t>
  </si>
  <si>
    <t>会有所差别，比如磁芯EE13，Ae值为13.8、16.0、17.1不等，</t>
  </si>
  <si>
    <t>MT7990-60W-2.5A原理图</t>
  </si>
  <si>
    <t>MT7990-60W-2.5A变压器参数</t>
  </si>
  <si>
    <t>V</t>
  </si>
  <si>
    <t>Eff_T</t>
  </si>
  <si>
    <t>Ae</t>
  </si>
  <si>
    <r>
      <t>mm</t>
    </r>
    <r>
      <rPr>
        <vertAlign val="superscript"/>
        <sz val="12"/>
        <rFont val="Arial"/>
        <family val="2"/>
      </rPr>
      <t>2</t>
    </r>
  </si>
  <si>
    <t>uS</t>
  </si>
  <si>
    <t>Ton_max</t>
  </si>
  <si>
    <t>Tdem_max</t>
  </si>
  <si>
    <t>KHz</t>
  </si>
  <si>
    <t>Ton_min</t>
  </si>
  <si>
    <t>Freq_max</t>
  </si>
  <si>
    <t>Ippk</t>
  </si>
  <si>
    <t>Ispk</t>
  </si>
  <si>
    <t>Rcs</t>
  </si>
  <si>
    <t>R6</t>
  </si>
  <si>
    <t>R5</t>
  </si>
  <si>
    <t>Bobbin width</t>
  </si>
  <si>
    <t>mm</t>
  </si>
  <si>
    <t>Bobbin Deep</t>
  </si>
  <si>
    <t>Winding Deep</t>
  </si>
  <si>
    <t>Ton</t>
  </si>
  <si>
    <t>Tdem</t>
  </si>
  <si>
    <t>Freq</t>
  </si>
  <si>
    <t>kHz</t>
  </si>
  <si>
    <t>F_min</t>
  </si>
  <si>
    <t>Ip_max</t>
  </si>
  <si>
    <t>Is_max</t>
  </si>
  <si>
    <t>Bsat</t>
  </si>
  <si>
    <t>T</t>
  </si>
  <si>
    <r>
      <t>MT7990</t>
    </r>
    <r>
      <rPr>
        <sz val="20"/>
        <rFont val="黑体"/>
        <family val="3"/>
      </rPr>
      <t>高</t>
    </r>
    <r>
      <rPr>
        <sz val="20"/>
        <rFont val="Arial"/>
        <family val="2"/>
      </rPr>
      <t>PF</t>
    </r>
    <r>
      <rPr>
        <sz val="20"/>
        <rFont val="黑体"/>
        <family val="3"/>
      </rPr>
      <t>隔离电源设计计算工具</t>
    </r>
  </si>
  <si>
    <t xml:space="preserve"> REV 1.4    (2016-01-21)</t>
  </si>
  <si>
    <r>
      <rPr>
        <sz val="16"/>
        <color indexed="8"/>
        <rFont val="黑体"/>
        <family val="3"/>
      </rPr>
      <t>应用电路图</t>
    </r>
  </si>
  <si>
    <r>
      <rPr>
        <sz val="12"/>
        <color indexed="8"/>
        <rFont val="宋体"/>
        <family val="0"/>
      </rPr>
      <t>变压器公式引自《</t>
    </r>
    <r>
      <rPr>
        <sz val="12"/>
        <color indexed="8"/>
        <rFont val="Arial"/>
        <family val="2"/>
      </rPr>
      <t>MT7990-</t>
    </r>
    <r>
      <rPr>
        <sz val="12"/>
        <color indexed="8"/>
        <rFont val="宋体"/>
        <family val="0"/>
      </rPr>
      <t>高</t>
    </r>
    <r>
      <rPr>
        <sz val="12"/>
        <color indexed="8"/>
        <rFont val="Arial"/>
        <family val="2"/>
      </rPr>
      <t>PF</t>
    </r>
    <r>
      <rPr>
        <sz val="12"/>
        <color indexed="8"/>
        <rFont val="宋体"/>
        <family val="0"/>
      </rPr>
      <t>隔离电源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应用设计指南》</t>
    </r>
  </si>
  <si>
    <r>
      <rPr>
        <b/>
        <sz val="12"/>
        <color indexed="10"/>
        <rFont val="Times New Roman"/>
        <family val="1"/>
      </rPr>
      <t>红色字体</t>
    </r>
    <r>
      <rPr>
        <b/>
        <sz val="12"/>
        <color indexed="10"/>
        <rFont val="Arial"/>
        <family val="2"/>
      </rPr>
      <t xml:space="preserve">   12345</t>
    </r>
  </si>
  <si>
    <r>
      <rPr>
        <b/>
        <sz val="12"/>
        <color indexed="10"/>
        <rFont val="Times New Roman"/>
        <family val="1"/>
      </rPr>
      <t>计算得出的参数</t>
    </r>
  </si>
  <si>
    <r>
      <rPr>
        <sz val="14"/>
        <color indexed="8"/>
        <rFont val="黑体"/>
        <family val="3"/>
      </rPr>
      <t>基本参数</t>
    </r>
  </si>
  <si>
    <t>蓝色字体    12345</t>
  </si>
  <si>
    <r>
      <rPr>
        <b/>
        <sz val="12"/>
        <color indexed="48"/>
        <rFont val="Times New Roman"/>
        <family val="1"/>
      </rPr>
      <t>需要填入的参数</t>
    </r>
  </si>
  <si>
    <r>
      <rPr>
        <sz val="12"/>
        <color indexed="8"/>
        <rFont val="宋体"/>
        <family val="0"/>
      </rPr>
      <t>最小交流输入电压</t>
    </r>
  </si>
  <si>
    <t>绿色字体   12345</t>
  </si>
  <si>
    <r>
      <rPr>
        <b/>
        <sz val="12"/>
        <color indexed="17"/>
        <rFont val="Times New Roman"/>
        <family val="1"/>
      </rPr>
      <t>系统工作状态</t>
    </r>
  </si>
  <si>
    <t>最大交流输入电压</t>
  </si>
  <si>
    <r>
      <rPr>
        <b/>
        <sz val="14"/>
        <color indexed="8"/>
        <rFont val="黑体"/>
        <family val="3"/>
      </rPr>
      <t>使用介绍：</t>
    </r>
  </si>
  <si>
    <t>额定输出电压</t>
  </si>
  <si>
    <r>
      <t>1. Vdd</t>
    </r>
    <r>
      <rPr>
        <sz val="12"/>
        <color indexed="8"/>
        <rFont val="宋体"/>
        <family val="0"/>
      </rPr>
      <t>取值</t>
    </r>
    <r>
      <rPr>
        <sz val="12"/>
        <color indexed="8"/>
        <rFont val="Arial"/>
        <family val="2"/>
      </rPr>
      <t>19V-24V</t>
    </r>
  </si>
  <si>
    <r>
      <rPr>
        <sz val="12"/>
        <color indexed="8"/>
        <rFont val="宋体"/>
        <family val="0"/>
      </rPr>
      <t>最大输出</t>
    </r>
    <r>
      <rPr>
        <sz val="12"/>
        <color indexed="8"/>
        <rFont val="Arial"/>
        <family val="2"/>
      </rPr>
      <t>(</t>
    </r>
    <r>
      <rPr>
        <sz val="12"/>
        <color indexed="8"/>
        <rFont val="宋体"/>
        <family val="0"/>
      </rPr>
      <t>限制</t>
    </r>
    <r>
      <rPr>
        <sz val="12"/>
        <color indexed="8"/>
        <rFont val="Arial"/>
        <family val="2"/>
      </rPr>
      <t>)</t>
    </r>
    <r>
      <rPr>
        <sz val="12"/>
        <color indexed="8"/>
        <rFont val="宋体"/>
        <family val="0"/>
      </rPr>
      <t>电流</t>
    </r>
  </si>
  <si>
    <r>
      <t xml:space="preserve">2. </t>
    </r>
    <r>
      <rPr>
        <sz val="12"/>
        <color indexed="8"/>
        <rFont val="宋体"/>
        <family val="0"/>
      </rPr>
      <t>最小开关频率</t>
    </r>
    <r>
      <rPr>
        <sz val="12"/>
        <color indexed="8"/>
        <rFont val="Arial"/>
        <family val="2"/>
      </rPr>
      <t>Freq_min</t>
    </r>
    <r>
      <rPr>
        <sz val="12"/>
        <color indexed="8"/>
        <rFont val="宋体"/>
        <family val="0"/>
      </rPr>
      <t>的取值范围为</t>
    </r>
    <r>
      <rPr>
        <sz val="12"/>
        <color indexed="8"/>
        <rFont val="Arial"/>
        <family val="2"/>
      </rPr>
      <t>(35,80)</t>
    </r>
  </si>
  <si>
    <t>芯片供电电压</t>
  </si>
  <si>
    <r>
      <rPr>
        <sz val="11"/>
        <color indexed="8"/>
        <rFont val="宋体"/>
        <family val="0"/>
      </rPr>
      <t>》</t>
    </r>
  </si>
  <si>
    <r>
      <t xml:space="preserve">3. </t>
    </r>
    <r>
      <rPr>
        <sz val="12"/>
        <color indexed="8"/>
        <rFont val="宋体"/>
        <family val="0"/>
      </rPr>
      <t>反射电压</t>
    </r>
    <r>
      <rPr>
        <sz val="12"/>
        <color indexed="8"/>
        <rFont val="Arial"/>
        <family val="2"/>
      </rPr>
      <t>Vor</t>
    </r>
    <r>
      <rPr>
        <sz val="12"/>
        <color indexed="8"/>
        <rFont val="宋体"/>
        <family val="0"/>
      </rPr>
      <t>的取值范围为</t>
    </r>
    <r>
      <rPr>
        <sz val="12"/>
        <color indexed="8"/>
        <rFont val="Arial"/>
        <family val="2"/>
      </rPr>
      <t>(70,120)</t>
    </r>
    <r>
      <rPr>
        <sz val="12"/>
        <color indexed="8"/>
        <rFont val="宋体"/>
        <family val="0"/>
      </rPr>
      <t>，尽量小</t>
    </r>
  </si>
  <si>
    <r>
      <rPr>
        <sz val="12"/>
        <color indexed="8"/>
        <rFont val="宋体"/>
        <family val="0"/>
      </rPr>
      <t>最小开关频率</t>
    </r>
  </si>
  <si>
    <r>
      <t xml:space="preserve">4. </t>
    </r>
    <r>
      <rPr>
        <sz val="12"/>
        <color indexed="8"/>
        <rFont val="宋体"/>
        <family val="0"/>
      </rPr>
      <t>变压器的传输效率取值范围为</t>
    </r>
    <r>
      <rPr>
        <sz val="12"/>
        <color indexed="8"/>
        <rFont val="Arial"/>
        <family val="2"/>
      </rPr>
      <t>(80%,92%)</t>
    </r>
  </si>
  <si>
    <t>反射电压</t>
  </si>
  <si>
    <r>
      <t>5. Bmax</t>
    </r>
    <r>
      <rPr>
        <sz val="12"/>
        <color indexed="8"/>
        <rFont val="宋体"/>
        <family val="0"/>
      </rPr>
      <t>取值范围是</t>
    </r>
    <r>
      <rPr>
        <sz val="12"/>
        <color indexed="8"/>
        <rFont val="Arial"/>
        <family val="2"/>
      </rPr>
      <t>(0.20,0.31)</t>
    </r>
  </si>
  <si>
    <t>输出电容推荐值</t>
  </si>
  <si>
    <t>Co</t>
  </si>
  <si>
    <t>u F</t>
  </si>
  <si>
    <r>
      <rPr>
        <sz val="14"/>
        <color indexed="8"/>
        <rFont val="黑体"/>
        <family val="3"/>
      </rPr>
      <t>变压器参数</t>
    </r>
  </si>
  <si>
    <r>
      <rPr>
        <b/>
        <sz val="14"/>
        <color indexed="8"/>
        <rFont val="黑体"/>
        <family val="3"/>
      </rPr>
      <t>骨架参数</t>
    </r>
  </si>
  <si>
    <t>电源板传输效率</t>
  </si>
  <si>
    <t>骨架窗口槽宽</t>
  </si>
  <si>
    <t>磁芯有效横截面积</t>
  </si>
  <si>
    <t>骨架窗口槽深</t>
  </si>
  <si>
    <t>最大磁通密度</t>
  </si>
  <si>
    <t>绕制后的总厚度</t>
  </si>
  <si>
    <t>初级电感量</t>
  </si>
  <si>
    <t>漆包线线外径</t>
  </si>
  <si>
    <t>估算层数</t>
  </si>
  <si>
    <t>估算厚度</t>
  </si>
  <si>
    <t>初级绕组匝数</t>
  </si>
  <si>
    <t>匝</t>
  </si>
  <si>
    <t>次级绕组匝数</t>
  </si>
  <si>
    <t>辅助绕组匝数</t>
  </si>
  <si>
    <t>初次级匝数比Np/Ns</t>
  </si>
  <si>
    <t>其他绕组和胶带等物质的总厚度</t>
  </si>
  <si>
    <r>
      <rPr>
        <sz val="14"/>
        <rFont val="黑体"/>
        <family val="3"/>
      </rPr>
      <t>电源关键参数</t>
    </r>
  </si>
  <si>
    <r>
      <rPr>
        <sz val="14"/>
        <rFont val="黑体"/>
        <family val="3"/>
      </rPr>
      <t>变化</t>
    </r>
    <r>
      <rPr>
        <sz val="14"/>
        <rFont val="Arial"/>
        <family val="2"/>
      </rPr>
      <t>Vo</t>
    </r>
    <r>
      <rPr>
        <sz val="14"/>
        <rFont val="黑体"/>
        <family val="3"/>
      </rPr>
      <t>，系统关键参数</t>
    </r>
  </si>
  <si>
    <t>最大导通时间</t>
  </si>
  <si>
    <t>输出电压 (低压过载)</t>
  </si>
  <si>
    <t>最大去磁时间</t>
  </si>
  <si>
    <t>最小开关频率</t>
  </si>
  <si>
    <r>
      <t>Vac_min</t>
    </r>
    <r>
      <rPr>
        <sz val="12"/>
        <color indexed="8"/>
        <rFont val="宋体"/>
        <family val="0"/>
      </rPr>
      <t>时的</t>
    </r>
    <r>
      <rPr>
        <sz val="12"/>
        <color indexed="8"/>
        <rFont val="Arial"/>
        <family val="2"/>
      </rPr>
      <t>Ton</t>
    </r>
  </si>
  <si>
    <t>最小导通时间</t>
  </si>
  <si>
    <r>
      <t>Vac_min</t>
    </r>
    <r>
      <rPr>
        <sz val="12"/>
        <color indexed="8"/>
        <rFont val="宋体"/>
        <family val="0"/>
      </rPr>
      <t>波峰时的</t>
    </r>
    <r>
      <rPr>
        <sz val="12"/>
        <color indexed="8"/>
        <rFont val="Arial"/>
        <family val="2"/>
      </rPr>
      <t>Tdem</t>
    </r>
  </si>
  <si>
    <t>最大工作频率</t>
  </si>
  <si>
    <t>初级最大峰值电流</t>
  </si>
  <si>
    <r>
      <t>Vac_max</t>
    </r>
    <r>
      <rPr>
        <sz val="12"/>
        <color indexed="8"/>
        <rFont val="宋体"/>
        <family val="0"/>
      </rPr>
      <t>时的</t>
    </r>
    <r>
      <rPr>
        <sz val="12"/>
        <color indexed="8"/>
        <rFont val="Arial"/>
        <family val="2"/>
      </rPr>
      <t>Ton</t>
    </r>
  </si>
  <si>
    <t>次级峰值电流&amp;85Vac</t>
  </si>
  <si>
    <t>最大开关频率</t>
  </si>
  <si>
    <t>初级电流检测电阻</t>
  </si>
  <si>
    <t>初级峰值电流&amp;85Vac</t>
  </si>
  <si>
    <r>
      <t>FB</t>
    </r>
    <r>
      <rPr>
        <sz val="12"/>
        <color indexed="8"/>
        <rFont val="宋体"/>
        <family val="0"/>
      </rPr>
      <t>脚下电阻值</t>
    </r>
  </si>
  <si>
    <r>
      <t>FB</t>
    </r>
    <r>
      <rPr>
        <sz val="12"/>
        <color indexed="8"/>
        <rFont val="宋体"/>
        <family val="0"/>
      </rPr>
      <t>脚上电阻值</t>
    </r>
  </si>
  <si>
    <t>最大磁通密度&amp;85Vac</t>
  </si>
  <si>
    <r>
      <t xml:space="preserve">4. </t>
    </r>
    <r>
      <rPr>
        <sz val="10"/>
        <color indexed="8"/>
        <rFont val="宋体"/>
        <family val="0"/>
      </rPr>
      <t>最大磁通密度为</t>
    </r>
    <r>
      <rPr>
        <sz val="10"/>
        <color indexed="8"/>
        <rFont val="Arial"/>
        <family val="2"/>
      </rPr>
      <t>0.31T</t>
    </r>
    <r>
      <rPr>
        <sz val="10"/>
        <color indexed="8"/>
        <rFont val="宋体"/>
        <family val="0"/>
      </rPr>
      <t xml:space="preserve">，如果客户磁芯质量比较
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>好，可以自行放宽到</t>
    </r>
    <r>
      <rPr>
        <sz val="10"/>
        <color indexed="8"/>
        <rFont val="Arial"/>
        <family val="2"/>
      </rPr>
      <t>0.33T</t>
    </r>
    <r>
      <rPr>
        <sz val="10"/>
        <color indexed="8"/>
        <rFont val="宋体"/>
        <family val="0"/>
      </rPr>
      <t xml:space="preserve">；
</t>
    </r>
    <r>
      <rPr>
        <sz val="10"/>
        <color indexed="8"/>
        <rFont val="Arial"/>
        <family val="2"/>
      </rPr>
      <t>5 “</t>
    </r>
    <r>
      <rPr>
        <sz val="10"/>
        <color indexed="8"/>
        <rFont val="宋体"/>
        <family val="0"/>
      </rPr>
      <t>变化</t>
    </r>
    <r>
      <rPr>
        <sz val="10"/>
        <color indexed="8"/>
        <rFont val="Arial"/>
        <family val="2"/>
      </rPr>
      <t>Vo</t>
    </r>
    <r>
      <rPr>
        <sz val="10"/>
        <color indexed="8"/>
        <rFont val="宋体"/>
        <family val="0"/>
      </rPr>
      <t>，系统关键参数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 xml:space="preserve">部分，是考虑到低压过载限流
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>保护而设置的，</t>
    </r>
    <r>
      <rPr>
        <sz val="10"/>
        <color indexed="8"/>
        <rFont val="Arial"/>
        <family val="2"/>
      </rPr>
      <t>Vo</t>
    </r>
    <r>
      <rPr>
        <sz val="10"/>
        <color indexed="8"/>
        <rFont val="宋体"/>
        <family val="0"/>
      </rPr>
      <t>的取值范围受</t>
    </r>
    <r>
      <rPr>
        <sz val="10"/>
        <color indexed="8"/>
        <rFont val="Arial"/>
        <family val="2"/>
      </rPr>
      <t>VDD</t>
    </r>
    <r>
      <rPr>
        <sz val="10"/>
        <color indexed="8"/>
        <rFont val="宋体"/>
        <family val="0"/>
      </rPr>
      <t>电压限制；</t>
    </r>
    <r>
      <rPr>
        <sz val="10"/>
        <color indexed="8"/>
        <rFont val="Arial"/>
        <family val="2"/>
      </rPr>
      <t xml:space="preserve"> 
6. </t>
    </r>
    <r>
      <rPr>
        <sz val="10"/>
        <color indexed="8"/>
        <rFont val="宋体"/>
        <family val="0"/>
      </rPr>
      <t xml:space="preserve">关于计算误差：本计算表格忽略的一些寄生参数，
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>计算结果不是非常准确，粗略估计误差在</t>
    </r>
    <r>
      <rPr>
        <sz val="10"/>
        <color indexed="8"/>
        <rFont val="Arial"/>
        <family val="2"/>
      </rPr>
      <t>±10%</t>
    </r>
    <r>
      <rPr>
        <sz val="10"/>
        <color indexed="8"/>
        <rFont val="宋体"/>
        <family val="0"/>
      </rPr>
      <t xml:space="preserve">以内；
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 xml:space="preserve">建议设计人员以此为基础，与实验结果相对照，
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>对相关参数进行微调，以得到满意的电源产品。</t>
    </r>
  </si>
  <si>
    <r>
      <t xml:space="preserve">
</t>
    </r>
    <r>
      <rPr>
        <b/>
        <sz val="14"/>
        <color indexed="8"/>
        <rFont val="黑体"/>
        <family val="3"/>
      </rPr>
      <t>提示信息：</t>
    </r>
    <r>
      <rPr>
        <sz val="11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1. </t>
    </r>
    <r>
      <rPr>
        <sz val="10"/>
        <color indexed="8"/>
        <rFont val="宋体"/>
        <family val="0"/>
      </rPr>
      <t>若希望电源板通过</t>
    </r>
    <r>
      <rPr>
        <sz val="10"/>
        <color indexed="8"/>
        <rFont val="Arial"/>
        <family val="2"/>
      </rPr>
      <t>AC1KV</t>
    </r>
    <r>
      <rPr>
        <sz val="10"/>
        <color indexed="8"/>
        <rFont val="宋体"/>
        <family val="0"/>
      </rPr>
      <t xml:space="preserve">以上的绝缘耐压测试，
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>绕制变压器时</t>
    </r>
    <r>
      <rPr>
        <sz val="10"/>
        <color indexed="8"/>
        <rFont val="Arial"/>
        <family val="2"/>
      </rPr>
      <t>Np</t>
    </r>
    <r>
      <rPr>
        <sz val="10"/>
        <color indexed="8"/>
        <rFont val="宋体"/>
        <family val="0"/>
      </rPr>
      <t>、</t>
    </r>
    <r>
      <rPr>
        <sz val="10"/>
        <color indexed="8"/>
        <rFont val="Arial"/>
        <family val="2"/>
      </rPr>
      <t>Na</t>
    </r>
    <r>
      <rPr>
        <sz val="10"/>
        <color indexed="8"/>
        <rFont val="宋体"/>
        <family val="0"/>
      </rPr>
      <t xml:space="preserve">、内屏蔽绕组应使用普通
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>漆包线，</t>
    </r>
    <r>
      <rPr>
        <sz val="10"/>
        <color indexed="8"/>
        <rFont val="Arial"/>
        <family val="2"/>
      </rPr>
      <t>Ns</t>
    </r>
    <r>
      <rPr>
        <sz val="10"/>
        <color indexed="8"/>
        <rFont val="宋体"/>
        <family val="0"/>
      </rPr>
      <t xml:space="preserve">绕组采用三重绝缘线；
</t>
    </r>
    <r>
      <rPr>
        <sz val="10"/>
        <color indexed="8"/>
        <rFont val="Arial"/>
        <family val="2"/>
      </rPr>
      <t>2. “</t>
    </r>
    <r>
      <rPr>
        <sz val="10"/>
        <color indexed="8"/>
        <rFont val="宋体"/>
        <family val="0"/>
      </rPr>
      <t>其他绕组和胶带等物质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 xml:space="preserve">包括变压器线包中所
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 xml:space="preserve">有绝缘胶带的总厚度、内屏蔽绕组厚度，
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>每层绝缘胶带的厚度为</t>
    </r>
    <r>
      <rPr>
        <sz val="10"/>
        <color indexed="8"/>
        <rFont val="Arial"/>
        <family val="2"/>
      </rPr>
      <t>0.05mm</t>
    </r>
    <r>
      <rPr>
        <sz val="10"/>
        <color indexed="8"/>
        <rFont val="宋体"/>
        <family val="0"/>
      </rPr>
      <t xml:space="preserve">；
</t>
    </r>
    <r>
      <rPr>
        <sz val="10"/>
        <color indexed="8"/>
        <rFont val="Arial"/>
        <family val="2"/>
      </rPr>
      <t xml:space="preserve">3. </t>
    </r>
    <r>
      <rPr>
        <sz val="10"/>
        <color indexed="8"/>
        <rFont val="宋体"/>
        <family val="0"/>
      </rPr>
      <t>通常情况下，</t>
    </r>
    <r>
      <rPr>
        <sz val="10"/>
        <color indexed="8"/>
        <rFont val="Arial"/>
        <family val="2"/>
      </rPr>
      <t>FB</t>
    </r>
    <r>
      <rPr>
        <sz val="10"/>
        <color indexed="8"/>
        <rFont val="宋体"/>
        <family val="0"/>
      </rPr>
      <t>下电阻</t>
    </r>
    <r>
      <rPr>
        <sz val="10"/>
        <color indexed="8"/>
        <rFont val="Arial"/>
        <family val="2"/>
      </rPr>
      <t>R6</t>
    </r>
    <r>
      <rPr>
        <sz val="10"/>
        <color indexed="8"/>
        <rFont val="宋体"/>
        <family val="0"/>
      </rPr>
      <t>推荐为</t>
    </r>
    <r>
      <rPr>
        <sz val="10"/>
        <color indexed="8"/>
        <rFont val="Arial"/>
        <family val="2"/>
      </rPr>
      <t>5.1KΩ~10KΩ</t>
    </r>
    <r>
      <rPr>
        <sz val="10"/>
        <color indexed="8"/>
        <rFont val="宋体"/>
        <family val="0"/>
      </rPr>
      <t xml:space="preserve">，自
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>动得到</t>
    </r>
    <r>
      <rPr>
        <sz val="10"/>
        <color indexed="8"/>
        <rFont val="Arial"/>
        <family val="2"/>
      </rPr>
      <t>R5</t>
    </r>
    <r>
      <rPr>
        <sz val="10"/>
        <color indexed="8"/>
        <rFont val="宋体"/>
        <family val="0"/>
      </rPr>
      <t xml:space="preserve">；
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</si>
</sst>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_ "/>
    <numFmt numFmtId="180" formatCode="0.00_);[Red]\(0.00\)"/>
    <numFmt numFmtId="181" formatCode="0.0_);[Red]\(0.0\)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_ "/>
  </numFmts>
  <fonts count="8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Times New Roman"/>
      <family val="1"/>
    </font>
    <font>
      <b/>
      <sz val="14"/>
      <color indexed="8"/>
      <name val="宋体"/>
      <family val="0"/>
    </font>
    <font>
      <sz val="13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3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i/>
      <sz val="12"/>
      <color indexed="17"/>
      <name val="Arial"/>
      <family val="2"/>
    </font>
    <font>
      <b/>
      <sz val="12"/>
      <color indexed="4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sz val="9"/>
      <name val="Tahoma"/>
      <family val="2"/>
    </font>
    <font>
      <sz val="20"/>
      <name val="Arial"/>
      <family val="2"/>
    </font>
    <font>
      <sz val="20"/>
      <name val="黑体"/>
      <family val="3"/>
    </font>
    <font>
      <sz val="14"/>
      <name val="Arial"/>
      <family val="2"/>
    </font>
    <font>
      <sz val="16"/>
      <color indexed="8"/>
      <name val="黑体"/>
      <family val="3"/>
    </font>
    <font>
      <sz val="11"/>
      <color indexed="30"/>
      <name val="Arial"/>
      <family val="2"/>
    </font>
    <font>
      <sz val="14"/>
      <color indexed="8"/>
      <name val="Arial"/>
      <family val="2"/>
    </font>
    <font>
      <sz val="14"/>
      <color indexed="8"/>
      <name val="黑体"/>
      <family val="3"/>
    </font>
    <font>
      <sz val="11"/>
      <color indexed="8"/>
      <name val="Arial"/>
      <family val="2"/>
    </font>
    <font>
      <sz val="12"/>
      <color indexed="17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黑体"/>
      <family val="3"/>
    </font>
    <font>
      <b/>
      <sz val="11"/>
      <color indexed="8"/>
      <name val="Arial"/>
      <family val="2"/>
    </font>
    <font>
      <sz val="14"/>
      <name val="黑体"/>
      <family val="3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i/>
      <sz val="12"/>
      <color indexed="48"/>
      <name val="Arial"/>
      <family val="2"/>
    </font>
    <font>
      <sz val="12"/>
      <color indexed="10"/>
      <name val="Arial"/>
      <family val="2"/>
    </font>
    <font>
      <b/>
      <sz val="12"/>
      <color indexed="48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2"/>
      <color theme="1"/>
      <name val="Arial"/>
      <family val="2"/>
    </font>
    <font>
      <b/>
      <i/>
      <sz val="12"/>
      <color rgb="FF3366FF"/>
      <name val="Arial"/>
      <family val="2"/>
    </font>
    <font>
      <b/>
      <sz val="12"/>
      <color rgb="FFFF0000"/>
      <name val="Arial"/>
      <family val="2"/>
    </font>
    <font>
      <b/>
      <sz val="12"/>
      <color rgb="FF008000"/>
      <name val="Arial"/>
      <family val="2"/>
    </font>
    <font>
      <sz val="12"/>
      <color rgb="FFFF0000"/>
      <name val="Arial"/>
      <family val="2"/>
    </font>
    <font>
      <b/>
      <i/>
      <sz val="12"/>
      <color rgb="FF008000"/>
      <name val="Arial"/>
      <family val="2"/>
    </font>
    <font>
      <b/>
      <sz val="12"/>
      <color rgb="FF3366FF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66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 vertical="center"/>
      <protection/>
    </xf>
    <xf numFmtId="0" fontId="1" fillId="32" borderId="7" applyNumberFormat="0" applyFont="0" applyAlignment="0" applyProtection="0"/>
    <xf numFmtId="0" fontId="71" fillId="27" borderId="8" applyNumberFormat="0" applyAlignment="0" applyProtection="0"/>
    <xf numFmtId="9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35">
    <xf numFmtId="0" fontId="0" fillId="0" borderId="0" xfId="0" applyFont="1" applyAlignment="1">
      <alignment vertical="center"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176" fontId="0" fillId="0" borderId="15" xfId="0" applyNumberForma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176" fontId="0" fillId="0" borderId="20" xfId="0" applyNumberForma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181" fontId="0" fillId="0" borderId="22" xfId="0" applyNumberFormat="1" applyBorder="1" applyAlignment="1" applyProtection="1">
      <alignment horizontal="center" vertical="center"/>
      <protection hidden="1"/>
    </xf>
    <xf numFmtId="0" fontId="0" fillId="33" borderId="23" xfId="0" applyFill="1" applyBorder="1" applyAlignment="1" applyProtection="1">
      <alignment/>
      <protection hidden="1"/>
    </xf>
    <xf numFmtId="181" fontId="0" fillId="0" borderId="22" xfId="0" applyNumberFormat="1" applyFill="1" applyBorder="1" applyAlignment="1" applyProtection="1">
      <alignment horizontal="center" vertical="center"/>
      <protection hidden="1"/>
    </xf>
    <xf numFmtId="0" fontId="5" fillId="33" borderId="13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0" fillId="33" borderId="24" xfId="0" applyFill="1" applyBorder="1" applyAlignment="1" applyProtection="1">
      <alignment/>
      <protection hidden="1"/>
    </xf>
    <xf numFmtId="0" fontId="0" fillId="33" borderId="25" xfId="0" applyFill="1" applyBorder="1" applyAlignment="1" applyProtection="1">
      <alignment/>
      <protection hidden="1"/>
    </xf>
    <xf numFmtId="0" fontId="0" fillId="33" borderId="26" xfId="0" applyFill="1" applyBorder="1" applyAlignment="1" applyProtection="1">
      <alignment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34" borderId="23" xfId="0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0" fillId="34" borderId="24" xfId="0" applyFill="1" applyBorder="1" applyAlignment="1" applyProtection="1">
      <alignment/>
      <protection hidden="1"/>
    </xf>
    <xf numFmtId="0" fontId="0" fillId="34" borderId="25" xfId="0" applyFill="1" applyBorder="1" applyAlignment="1" applyProtection="1">
      <alignment/>
      <protection hidden="1"/>
    </xf>
    <xf numFmtId="0" fontId="0" fillId="34" borderId="26" xfId="0" applyFill="1" applyBorder="1" applyAlignment="1" applyProtection="1">
      <alignment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181" fontId="0" fillId="0" borderId="15" xfId="0" applyNumberFormat="1" applyBorder="1" applyAlignment="1" applyProtection="1">
      <alignment horizontal="center" vertical="center"/>
      <protection hidden="1"/>
    </xf>
    <xf numFmtId="181" fontId="0" fillId="0" borderId="15" xfId="0" applyNumberFormat="1" applyFill="1" applyBorder="1" applyAlignment="1" applyProtection="1">
      <alignment horizontal="center" vertical="center"/>
      <protection hidden="1"/>
    </xf>
    <xf numFmtId="181" fontId="0" fillId="0" borderId="15" xfId="0" applyNumberFormat="1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/>
      <protection hidden="1"/>
    </xf>
    <xf numFmtId="181" fontId="0" fillId="0" borderId="30" xfId="0" applyNumberFormat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8" fillId="34" borderId="13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8" fillId="34" borderId="12" xfId="0" applyFont="1" applyFill="1" applyBorder="1" applyAlignment="1" applyProtection="1">
      <alignment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75" fillId="0" borderId="27" xfId="0" applyFont="1" applyFill="1" applyBorder="1" applyAlignment="1" applyProtection="1">
      <alignment/>
      <protection hidden="1"/>
    </xf>
    <xf numFmtId="0" fontId="11" fillId="0" borderId="28" xfId="0" applyFont="1" applyFill="1" applyBorder="1" applyAlignment="1" applyProtection="1">
      <alignment/>
      <protection hidden="1"/>
    </xf>
    <xf numFmtId="0" fontId="12" fillId="0" borderId="28" xfId="0" applyFont="1" applyFill="1" applyBorder="1" applyAlignment="1" applyProtection="1">
      <alignment horizontal="right" vertical="center"/>
      <protection locked="0"/>
    </xf>
    <xf numFmtId="0" fontId="12" fillId="0" borderId="28" xfId="0" applyFont="1" applyFill="1" applyBorder="1" applyAlignment="1" applyProtection="1">
      <alignment horizontal="right" vertical="center"/>
      <protection hidden="1"/>
    </xf>
    <xf numFmtId="0" fontId="13" fillId="0" borderId="29" xfId="0" applyFont="1" applyFill="1" applyBorder="1" applyAlignment="1" applyProtection="1">
      <alignment horizontal="left"/>
      <protection hidden="1"/>
    </xf>
    <xf numFmtId="0" fontId="75" fillId="0" borderId="16" xfId="0" applyFont="1" applyFill="1" applyBorder="1" applyAlignment="1" applyProtection="1">
      <alignment/>
      <protection hidden="1"/>
    </xf>
    <xf numFmtId="0" fontId="11" fillId="0" borderId="22" xfId="0" applyFont="1" applyFill="1" applyBorder="1" applyAlignment="1" applyProtection="1">
      <alignment/>
      <protection hidden="1"/>
    </xf>
    <xf numFmtId="0" fontId="12" fillId="0" borderId="22" xfId="0" applyFont="1" applyFill="1" applyBorder="1" applyAlignment="1" applyProtection="1">
      <alignment horizontal="right" vertical="center"/>
      <protection locked="0"/>
    </xf>
    <xf numFmtId="0" fontId="12" fillId="0" borderId="22" xfId="0" applyFont="1" applyFill="1" applyBorder="1" applyAlignment="1" applyProtection="1">
      <alignment horizontal="right" vertical="center"/>
      <protection hidden="1"/>
    </xf>
    <xf numFmtId="0" fontId="13" fillId="0" borderId="15" xfId="0" applyFont="1" applyFill="1" applyBorder="1" applyAlignment="1" applyProtection="1">
      <alignment horizontal="left"/>
      <protection hidden="1"/>
    </xf>
    <xf numFmtId="0" fontId="76" fillId="0" borderId="22" xfId="0" applyFont="1" applyFill="1" applyBorder="1" applyAlignment="1" applyProtection="1">
      <alignment horizontal="right" vertical="center"/>
      <protection locked="0"/>
    </xf>
    <xf numFmtId="177" fontId="14" fillId="0" borderId="22" xfId="0" applyNumberFormat="1" applyFont="1" applyFill="1" applyBorder="1" applyAlignment="1" applyProtection="1">
      <alignment horizontal="right" vertical="center"/>
      <protection hidden="1"/>
    </xf>
    <xf numFmtId="176" fontId="76" fillId="0" borderId="22" xfId="0" applyNumberFormat="1" applyFont="1" applyFill="1" applyBorder="1" applyAlignment="1" applyProtection="1">
      <alignment horizontal="right" vertical="center"/>
      <protection locked="0"/>
    </xf>
    <xf numFmtId="0" fontId="11" fillId="0" borderId="30" xfId="0" applyFont="1" applyFill="1" applyBorder="1" applyAlignment="1" applyProtection="1">
      <alignment/>
      <protection hidden="1"/>
    </xf>
    <xf numFmtId="0" fontId="13" fillId="0" borderId="20" xfId="0" applyFont="1" applyFill="1" applyBorder="1" applyAlignment="1" applyProtection="1">
      <alignment horizontal="left"/>
      <protection hidden="1"/>
    </xf>
    <xf numFmtId="178" fontId="76" fillId="0" borderId="28" xfId="0" applyNumberFormat="1" applyFont="1" applyFill="1" applyBorder="1" applyAlignment="1" applyProtection="1">
      <alignment horizontal="right" vertical="center"/>
      <protection locked="0"/>
    </xf>
    <xf numFmtId="177" fontId="12" fillId="0" borderId="28" xfId="0" applyNumberFormat="1" applyFont="1" applyFill="1" applyBorder="1" applyAlignment="1" applyProtection="1">
      <alignment horizontal="right" vertical="center"/>
      <protection hidden="1"/>
    </xf>
    <xf numFmtId="176" fontId="12" fillId="0" borderId="22" xfId="0" applyNumberFormat="1" applyFont="1" applyFill="1" applyBorder="1" applyAlignment="1" applyProtection="1">
      <alignment horizontal="right" vertical="center"/>
      <protection locked="0"/>
    </xf>
    <xf numFmtId="176" fontId="12" fillId="0" borderId="22" xfId="0" applyNumberFormat="1" applyFont="1" applyFill="1" applyBorder="1" applyAlignment="1" applyProtection="1">
      <alignment horizontal="right" vertical="center"/>
      <protection hidden="1"/>
    </xf>
    <xf numFmtId="179" fontId="76" fillId="0" borderId="22" xfId="0" applyNumberFormat="1" applyFont="1" applyFill="1" applyBorder="1" applyAlignment="1" applyProtection="1">
      <alignment horizontal="right" vertical="center"/>
      <protection locked="0"/>
    </xf>
    <xf numFmtId="178" fontId="77" fillId="0" borderId="22" xfId="0" applyNumberFormat="1" applyFont="1" applyFill="1" applyBorder="1" applyAlignment="1" applyProtection="1">
      <alignment horizontal="right"/>
      <protection hidden="1"/>
    </xf>
    <xf numFmtId="178" fontId="15" fillId="0" borderId="22" xfId="0" applyNumberFormat="1" applyFont="1" applyFill="1" applyBorder="1" applyAlignment="1" applyProtection="1">
      <alignment horizontal="right"/>
      <protection hidden="1"/>
    </xf>
    <xf numFmtId="176" fontId="77" fillId="0" borderId="22" xfId="0" applyNumberFormat="1" applyFont="1" applyFill="1" applyBorder="1" applyAlignment="1" applyProtection="1">
      <alignment horizontal="right"/>
      <protection hidden="1"/>
    </xf>
    <xf numFmtId="176" fontId="15" fillId="0" borderId="22" xfId="0" applyNumberFormat="1" applyFont="1" applyFill="1" applyBorder="1" applyAlignment="1" applyProtection="1">
      <alignment horizontal="right"/>
      <protection hidden="1"/>
    </xf>
    <xf numFmtId="177" fontId="78" fillId="0" borderId="30" xfId="0" applyNumberFormat="1" applyFont="1" applyFill="1" applyBorder="1" applyAlignment="1" applyProtection="1">
      <alignment horizontal="right"/>
      <protection hidden="1"/>
    </xf>
    <xf numFmtId="176" fontId="15" fillId="0" borderId="30" xfId="0" applyNumberFormat="1" applyFont="1" applyFill="1" applyBorder="1" applyAlignment="1" applyProtection="1">
      <alignment horizontal="right"/>
      <protection hidden="1"/>
    </xf>
    <xf numFmtId="0" fontId="75" fillId="0" borderId="21" xfId="0" applyFont="1" applyFill="1" applyBorder="1" applyAlignment="1" applyProtection="1">
      <alignment/>
      <protection hidden="1"/>
    </xf>
    <xf numFmtId="177" fontId="78" fillId="0" borderId="28" xfId="0" applyNumberFormat="1" applyFont="1" applyFill="1" applyBorder="1" applyAlignment="1" applyProtection="1">
      <alignment horizontal="right"/>
      <protection hidden="1"/>
    </xf>
    <xf numFmtId="177" fontId="15" fillId="0" borderId="28" xfId="0" applyNumberFormat="1" applyFont="1" applyFill="1" applyBorder="1" applyAlignment="1" applyProtection="1">
      <alignment horizontal="right"/>
      <protection hidden="1"/>
    </xf>
    <xf numFmtId="177" fontId="78" fillId="0" borderId="22" xfId="0" applyNumberFormat="1" applyFont="1" applyFill="1" applyBorder="1" applyAlignment="1" applyProtection="1">
      <alignment horizontal="right"/>
      <protection hidden="1"/>
    </xf>
    <xf numFmtId="177" fontId="15" fillId="0" borderId="22" xfId="0" applyNumberFormat="1" applyFont="1" applyFill="1" applyBorder="1" applyAlignment="1" applyProtection="1">
      <alignment horizontal="right"/>
      <protection hidden="1"/>
    </xf>
    <xf numFmtId="176" fontId="78" fillId="0" borderId="22" xfId="0" applyNumberFormat="1" applyFont="1" applyFill="1" applyBorder="1" applyAlignment="1" applyProtection="1">
      <alignment horizontal="right"/>
      <protection hidden="1"/>
    </xf>
    <xf numFmtId="179" fontId="78" fillId="0" borderId="22" xfId="0" applyNumberFormat="1" applyFont="1" applyFill="1" applyBorder="1" applyAlignment="1" applyProtection="1">
      <alignment horizontal="right"/>
      <protection hidden="1"/>
    </xf>
    <xf numFmtId="176" fontId="15" fillId="0" borderId="31" xfId="0" applyNumberFormat="1" applyFont="1" applyFill="1" applyBorder="1" applyAlignment="1" applyProtection="1">
      <alignment horizontal="right"/>
      <protection hidden="1"/>
    </xf>
    <xf numFmtId="0" fontId="75" fillId="0" borderId="16" xfId="0" applyFont="1" applyFill="1" applyBorder="1" applyAlignment="1" applyProtection="1">
      <alignment horizontal="left"/>
      <protection hidden="1"/>
    </xf>
    <xf numFmtId="0" fontId="75" fillId="0" borderId="32" xfId="0" applyFont="1" applyFill="1" applyBorder="1" applyAlignment="1" applyProtection="1">
      <alignment/>
      <protection hidden="1"/>
    </xf>
    <xf numFmtId="0" fontId="11" fillId="0" borderId="31" xfId="0" applyFont="1" applyFill="1" applyBorder="1" applyAlignment="1" applyProtection="1">
      <alignment/>
      <protection hidden="1"/>
    </xf>
    <xf numFmtId="0" fontId="75" fillId="0" borderId="13" xfId="0" applyFont="1" applyFill="1" applyBorder="1" applyAlignment="1" applyProtection="1">
      <alignment/>
      <protection hidden="1"/>
    </xf>
    <xf numFmtId="0" fontId="75" fillId="0" borderId="0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right"/>
      <protection hidden="1"/>
    </xf>
    <xf numFmtId="0" fontId="79" fillId="0" borderId="0" xfId="0" applyFont="1" applyFill="1" applyBorder="1" applyAlignment="1" applyProtection="1">
      <alignment/>
      <protection hidden="1"/>
    </xf>
    <xf numFmtId="177" fontId="12" fillId="0" borderId="28" xfId="0" applyNumberFormat="1" applyFont="1" applyFill="1" applyBorder="1" applyAlignment="1" applyProtection="1">
      <alignment horizontal="right" vertical="center"/>
      <protection locked="0"/>
    </xf>
    <xf numFmtId="177" fontId="12" fillId="0" borderId="22" xfId="0" applyNumberFormat="1" applyFont="1" applyFill="1" applyBorder="1" applyAlignment="1" applyProtection="1">
      <alignment horizontal="right" vertical="center"/>
      <protection locked="0"/>
    </xf>
    <xf numFmtId="180" fontId="12" fillId="0" borderId="16" xfId="0" applyNumberFormat="1" applyFont="1" applyFill="1" applyBorder="1" applyAlignment="1" applyProtection="1">
      <alignment horizontal="right" vertical="center"/>
      <protection locked="0"/>
    </xf>
    <xf numFmtId="176" fontId="78" fillId="0" borderId="22" xfId="0" applyNumberFormat="1" applyFont="1" applyFill="1" applyBorder="1" applyAlignment="1" applyProtection="1">
      <alignment horizontal="center" vertical="center"/>
      <protection hidden="1"/>
    </xf>
    <xf numFmtId="177" fontId="78" fillId="0" borderId="22" xfId="0" applyNumberFormat="1" applyFont="1" applyFill="1" applyBorder="1" applyAlignment="1" applyProtection="1">
      <alignment horizontal="right" vertical="center"/>
      <protection hidden="1"/>
    </xf>
    <xf numFmtId="177" fontId="80" fillId="0" borderId="30" xfId="0" applyNumberFormat="1" applyFont="1" applyFill="1" applyBorder="1" applyAlignment="1" applyProtection="1">
      <alignment horizontal="right" vertical="center"/>
      <protection locked="0"/>
    </xf>
    <xf numFmtId="0" fontId="11" fillId="0" borderId="22" xfId="0" applyFont="1" applyFill="1" applyBorder="1" applyAlignment="1" applyProtection="1">
      <alignment horizontal="left"/>
      <protection hidden="1"/>
    </xf>
    <xf numFmtId="0" fontId="75" fillId="0" borderId="22" xfId="0" applyFont="1" applyFill="1" applyBorder="1" applyAlignment="1" applyProtection="1">
      <alignment horizontal="center"/>
      <protection hidden="1"/>
    </xf>
    <xf numFmtId="0" fontId="75" fillId="0" borderId="30" xfId="0" applyFont="1" applyFill="1" applyBorder="1" applyAlignment="1" applyProtection="1">
      <alignment/>
      <protection hidden="1"/>
    </xf>
    <xf numFmtId="176" fontId="12" fillId="0" borderId="28" xfId="0" applyNumberFormat="1" applyFont="1" applyFill="1" applyBorder="1" applyAlignment="1" applyProtection="1">
      <alignment horizontal="right" vertical="center"/>
      <protection locked="0"/>
    </xf>
    <xf numFmtId="180" fontId="78" fillId="0" borderId="22" xfId="0" applyNumberFormat="1" applyFont="1" applyFill="1" applyBorder="1" applyAlignment="1" applyProtection="1">
      <alignment horizontal="right"/>
      <protection hidden="1"/>
    </xf>
    <xf numFmtId="179" fontId="78" fillId="0" borderId="30" xfId="0" applyNumberFormat="1" applyFont="1" applyFill="1" applyBorder="1" applyAlignment="1" applyProtection="1">
      <alignment horizontal="right"/>
      <protection hidden="1"/>
    </xf>
    <xf numFmtId="0" fontId="13" fillId="0" borderId="28" xfId="0" applyFont="1" applyFill="1" applyBorder="1" applyAlignment="1" applyProtection="1">
      <alignment/>
      <protection hidden="1"/>
    </xf>
    <xf numFmtId="0" fontId="75" fillId="0" borderId="33" xfId="0" applyFont="1" applyFill="1" applyBorder="1" applyAlignment="1" applyProtection="1">
      <alignment/>
      <protection hidden="1"/>
    </xf>
    <xf numFmtId="0" fontId="11" fillId="0" borderId="34" xfId="0" applyFont="1" applyFill="1" applyBorder="1" applyAlignment="1" applyProtection="1">
      <alignment/>
      <protection hidden="1"/>
    </xf>
    <xf numFmtId="177" fontId="17" fillId="0" borderId="34" xfId="0" applyNumberFormat="1" applyFont="1" applyFill="1" applyBorder="1" applyAlignment="1" applyProtection="1">
      <alignment horizontal="right"/>
      <protection hidden="1"/>
    </xf>
    <xf numFmtId="176" fontId="15" fillId="0" borderId="34" xfId="0" applyNumberFormat="1" applyFont="1" applyFill="1" applyBorder="1" applyAlignment="1" applyProtection="1">
      <alignment horizontal="right"/>
      <protection hidden="1"/>
    </xf>
    <xf numFmtId="177" fontId="77" fillId="0" borderId="30" xfId="0" applyNumberFormat="1" applyFont="1" applyFill="1" applyBorder="1" applyAlignment="1" applyProtection="1">
      <alignment horizontal="right"/>
      <protection hidden="1"/>
    </xf>
    <xf numFmtId="0" fontId="75" fillId="0" borderId="28" xfId="0" applyFont="1" applyFill="1" applyBorder="1" applyAlignment="1" applyProtection="1">
      <alignment horizontal="left" vertical="center"/>
      <protection hidden="1"/>
    </xf>
    <xf numFmtId="0" fontId="75" fillId="0" borderId="22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/>
      <protection hidden="1"/>
    </xf>
    <xf numFmtId="178" fontId="76" fillId="0" borderId="22" xfId="0" applyNumberFormat="1" applyFont="1" applyFill="1" applyBorder="1" applyAlignment="1" applyProtection="1">
      <alignment horizontal="right" vertical="center"/>
      <protection locked="0"/>
    </xf>
    <xf numFmtId="178" fontId="77" fillId="0" borderId="0" xfId="0" applyNumberFormat="1" applyFont="1" applyFill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75" fillId="0" borderId="16" xfId="0" applyFont="1" applyFill="1" applyBorder="1" applyAlignment="1" applyProtection="1">
      <alignment wrapText="1"/>
      <protection hidden="1"/>
    </xf>
    <xf numFmtId="178" fontId="77" fillId="0" borderId="30" xfId="0" applyNumberFormat="1" applyFont="1" applyFill="1" applyBorder="1" applyAlignment="1" applyProtection="1">
      <alignment horizontal="right"/>
      <protection hidden="1"/>
    </xf>
    <xf numFmtId="0" fontId="10" fillId="0" borderId="20" xfId="0" applyFont="1" applyFill="1" applyBorder="1" applyAlignment="1" applyProtection="1">
      <alignment horizontal="left"/>
      <protection hidden="1"/>
    </xf>
    <xf numFmtId="177" fontId="81" fillId="0" borderId="31" xfId="0" applyNumberFormat="1" applyFont="1" applyFill="1" applyBorder="1" applyAlignment="1" applyProtection="1">
      <alignment horizontal="right"/>
      <protection locked="0"/>
    </xf>
    <xf numFmtId="0" fontId="82" fillId="35" borderId="0" xfId="0" applyFont="1" applyFill="1" applyAlignment="1" applyProtection="1">
      <alignment/>
      <protection hidden="1"/>
    </xf>
    <xf numFmtId="0" fontId="82" fillId="0" borderId="0" xfId="0" applyFont="1" applyFill="1" applyAlignment="1" applyProtection="1">
      <alignment/>
      <protection hidden="1"/>
    </xf>
    <xf numFmtId="0" fontId="82" fillId="36" borderId="0" xfId="0" applyFont="1" applyFill="1" applyAlignment="1" applyProtection="1">
      <alignment/>
      <protection hidden="1"/>
    </xf>
    <xf numFmtId="0" fontId="83" fillId="36" borderId="23" xfId="0" applyFont="1" applyFill="1" applyBorder="1" applyAlignment="1" applyProtection="1">
      <alignment/>
      <protection hidden="1"/>
    </xf>
    <xf numFmtId="0" fontId="82" fillId="36" borderId="10" xfId="0" applyFont="1" applyFill="1" applyBorder="1" applyAlignment="1" applyProtection="1">
      <alignment/>
      <protection hidden="1"/>
    </xf>
    <xf numFmtId="0" fontId="82" fillId="36" borderId="11" xfId="0" applyFont="1" applyFill="1" applyBorder="1" applyAlignment="1" applyProtection="1">
      <alignment/>
      <protection hidden="1"/>
    </xf>
    <xf numFmtId="0" fontId="77" fillId="0" borderId="0" xfId="0" applyFont="1" applyFill="1" applyBorder="1" applyAlignment="1" applyProtection="1">
      <alignment horizontal="left"/>
      <protection hidden="1"/>
    </xf>
    <xf numFmtId="0" fontId="28" fillId="35" borderId="0" xfId="0" applyFont="1" applyFill="1" applyAlignment="1" applyProtection="1">
      <alignment/>
      <protection hidden="1"/>
    </xf>
    <xf numFmtId="0" fontId="28" fillId="0" borderId="0" xfId="0" applyFont="1" applyFill="1" applyAlignment="1" applyProtection="1">
      <alignment/>
      <protection hidden="1"/>
    </xf>
    <xf numFmtId="0" fontId="82" fillId="36" borderId="13" xfId="0" applyFont="1" applyFill="1" applyBorder="1" applyAlignment="1" applyProtection="1">
      <alignment/>
      <protection hidden="1"/>
    </xf>
    <xf numFmtId="0" fontId="82" fillId="36" borderId="0" xfId="0" applyFont="1" applyFill="1" applyBorder="1" applyAlignment="1" applyProtection="1">
      <alignment/>
      <protection hidden="1"/>
    </xf>
    <xf numFmtId="0" fontId="82" fillId="36" borderId="12" xfId="0" applyFont="1" applyFill="1" applyBorder="1" applyAlignment="1" applyProtection="1">
      <alignment/>
      <protection hidden="1"/>
    </xf>
    <xf numFmtId="0" fontId="29" fillId="36" borderId="13" xfId="0" applyFont="1" applyFill="1" applyBorder="1" applyAlignment="1" applyProtection="1">
      <alignment horizontal="left"/>
      <protection hidden="1"/>
    </xf>
    <xf numFmtId="0" fontId="31" fillId="36" borderId="12" xfId="0" applyFont="1" applyFill="1" applyBorder="1" applyAlignment="1" applyProtection="1">
      <alignment horizontal="left"/>
      <protection hidden="1"/>
    </xf>
    <xf numFmtId="0" fontId="82" fillId="36" borderId="0" xfId="0" applyFont="1" applyFill="1" applyAlignment="1" applyProtection="1">
      <alignment horizontal="center"/>
      <protection hidden="1"/>
    </xf>
    <xf numFmtId="0" fontId="32" fillId="36" borderId="0" xfId="0" applyFont="1" applyFill="1" applyAlignment="1" applyProtection="1">
      <alignment horizontal="right"/>
      <protection hidden="1"/>
    </xf>
    <xf numFmtId="0" fontId="81" fillId="0" borderId="0" xfId="0" applyFont="1" applyFill="1" applyBorder="1" applyAlignment="1" applyProtection="1">
      <alignment horizontal="left"/>
      <protection hidden="1"/>
    </xf>
    <xf numFmtId="0" fontId="78" fillId="0" borderId="0" xfId="0" applyFont="1" applyFill="1" applyBorder="1" applyAlignment="1" applyProtection="1">
      <alignment horizontal="left"/>
      <protection hidden="1"/>
    </xf>
    <xf numFmtId="0" fontId="82" fillId="0" borderId="13" xfId="0" applyFont="1" applyBorder="1" applyAlignment="1" applyProtection="1">
      <alignment/>
      <protection hidden="1"/>
    </xf>
    <xf numFmtId="0" fontId="82" fillId="0" borderId="0" xfId="0" applyFont="1" applyBorder="1" applyAlignment="1" applyProtection="1">
      <alignment/>
      <protection hidden="1"/>
    </xf>
    <xf numFmtId="0" fontId="82" fillId="0" borderId="12" xfId="0" applyFont="1" applyBorder="1" applyAlignment="1" applyProtection="1">
      <alignment/>
      <protection hidden="1"/>
    </xf>
    <xf numFmtId="0" fontId="82" fillId="0" borderId="0" xfId="0" applyFont="1" applyAlignment="1" applyProtection="1">
      <alignment/>
      <protection hidden="1"/>
    </xf>
    <xf numFmtId="0" fontId="33" fillId="0" borderId="23" xfId="0" applyFont="1" applyFill="1" applyBorder="1" applyAlignment="1" applyProtection="1">
      <alignment/>
      <protection hidden="1"/>
    </xf>
    <xf numFmtId="0" fontId="35" fillId="0" borderId="10" xfId="0" applyFont="1" applyFill="1" applyBorder="1" applyAlignment="1" applyProtection="1">
      <alignment/>
      <protection hidden="1"/>
    </xf>
    <xf numFmtId="0" fontId="82" fillId="0" borderId="10" xfId="0" applyFont="1" applyFill="1" applyBorder="1" applyAlignment="1" applyProtection="1">
      <alignment/>
      <protection hidden="1"/>
    </xf>
    <xf numFmtId="0" fontId="35" fillId="0" borderId="10" xfId="0" applyFont="1" applyFill="1" applyBorder="1" applyAlignment="1" applyProtection="1">
      <alignment horizontal="right"/>
      <protection hidden="1"/>
    </xf>
    <xf numFmtId="0" fontId="82" fillId="0" borderId="11" xfId="0" applyFont="1" applyFill="1" applyBorder="1" applyAlignment="1" applyProtection="1">
      <alignment/>
      <protection hidden="1"/>
    </xf>
    <xf numFmtId="0" fontId="82" fillId="0" borderId="12" xfId="0" applyFont="1" applyFill="1" applyBorder="1" applyAlignment="1" applyProtection="1">
      <alignment/>
      <protection hidden="1"/>
    </xf>
    <xf numFmtId="0" fontId="10" fillId="0" borderId="16" xfId="0" applyFont="1" applyFill="1" applyBorder="1" applyAlignment="1" applyProtection="1">
      <alignment/>
      <protection hidden="1"/>
    </xf>
    <xf numFmtId="0" fontId="10" fillId="0" borderId="13" xfId="0" applyFont="1" applyFill="1" applyBorder="1" applyAlignment="1" applyProtection="1">
      <alignment/>
      <protection hidden="1"/>
    </xf>
    <xf numFmtId="0" fontId="32" fillId="0" borderId="24" xfId="0" applyFont="1" applyFill="1" applyBorder="1" applyAlignment="1" applyProtection="1">
      <alignment horizontal="right"/>
      <protection hidden="1"/>
    </xf>
    <xf numFmtId="0" fontId="32" fillId="0" borderId="25" xfId="0" applyFont="1" applyFill="1" applyBorder="1" applyAlignment="1" applyProtection="1">
      <alignment horizontal="right"/>
      <protection hidden="1"/>
    </xf>
    <xf numFmtId="0" fontId="82" fillId="0" borderId="25" xfId="0" applyFont="1" applyFill="1" applyBorder="1" applyAlignment="1" applyProtection="1">
      <alignment/>
      <protection hidden="1"/>
    </xf>
    <xf numFmtId="0" fontId="82" fillId="0" borderId="26" xfId="0" applyFont="1" applyFill="1" applyBorder="1" applyAlignment="1" applyProtection="1">
      <alignment/>
      <protection hidden="1"/>
    </xf>
    <xf numFmtId="176" fontId="15" fillId="0" borderId="0" xfId="0" applyNumberFormat="1" applyFont="1" applyFill="1" applyBorder="1" applyAlignment="1" applyProtection="1">
      <alignment horizontal="right"/>
      <protection hidden="1"/>
    </xf>
    <xf numFmtId="0" fontId="32" fillId="0" borderId="0" xfId="0" applyFont="1" applyFill="1" applyAlignment="1" applyProtection="1">
      <alignment horizontal="right"/>
      <protection hidden="1"/>
    </xf>
    <xf numFmtId="0" fontId="29" fillId="0" borderId="35" xfId="0" applyFont="1" applyFill="1" applyBorder="1" applyAlignment="1" applyProtection="1">
      <alignment/>
      <protection hidden="1"/>
    </xf>
    <xf numFmtId="0" fontId="35" fillId="0" borderId="36" xfId="0" applyFont="1" applyFill="1" applyBorder="1" applyAlignment="1" applyProtection="1">
      <alignment/>
      <protection hidden="1"/>
    </xf>
    <xf numFmtId="0" fontId="32" fillId="0" borderId="36" xfId="0" applyFont="1" applyFill="1" applyBorder="1" applyAlignment="1" applyProtection="1">
      <alignment horizontal="right"/>
      <protection hidden="1"/>
    </xf>
    <xf numFmtId="0" fontId="19" fillId="0" borderId="36" xfId="0" applyFont="1" applyFill="1" applyBorder="1" applyAlignment="1" applyProtection="1">
      <alignment horizontal="right" vertical="center"/>
      <protection hidden="1"/>
    </xf>
    <xf numFmtId="0" fontId="32" fillId="0" borderId="37" xfId="0" applyFont="1" applyFill="1" applyBorder="1" applyAlignment="1" applyProtection="1">
      <alignment horizontal="right"/>
      <protection hidden="1"/>
    </xf>
    <xf numFmtId="0" fontId="10" fillId="0" borderId="29" xfId="0" applyFont="1" applyFill="1" applyBorder="1" applyAlignment="1" applyProtection="1">
      <alignment horizontal="left"/>
      <protection hidden="1"/>
    </xf>
    <xf numFmtId="0" fontId="10" fillId="0" borderId="15" xfId="0" applyFont="1" applyFill="1" applyBorder="1" applyAlignment="1" applyProtection="1">
      <alignment horizontal="left"/>
      <protection hidden="1"/>
    </xf>
    <xf numFmtId="0" fontId="10" fillId="0" borderId="16" xfId="0" applyFont="1" applyFill="1" applyBorder="1" applyAlignment="1" applyProtection="1">
      <alignment horizontal="left"/>
      <protection hidden="1"/>
    </xf>
    <xf numFmtId="0" fontId="10" fillId="0" borderId="22" xfId="0" applyFont="1" applyFill="1" applyBorder="1" applyAlignment="1" applyProtection="1">
      <alignment horizontal="left"/>
      <protection hidden="1"/>
    </xf>
    <xf numFmtId="0" fontId="82" fillId="0" borderId="0" xfId="0" applyFont="1" applyFill="1" applyBorder="1" applyAlignment="1" applyProtection="1">
      <alignment/>
      <protection hidden="1"/>
    </xf>
    <xf numFmtId="0" fontId="35" fillId="0" borderId="0" xfId="0" applyFont="1" applyFill="1" applyBorder="1" applyAlignment="1" applyProtection="1">
      <alignment/>
      <protection hidden="1"/>
    </xf>
    <xf numFmtId="0" fontId="31" fillId="0" borderId="0" xfId="0" applyFont="1" applyFill="1" applyBorder="1" applyAlignment="1" applyProtection="1">
      <alignment horizontal="left"/>
      <protection hidden="1"/>
    </xf>
    <xf numFmtId="0" fontId="26" fillId="0" borderId="23" xfId="0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 horizontal="right"/>
      <protection hidden="1"/>
    </xf>
    <xf numFmtId="0" fontId="31" fillId="0" borderId="11" xfId="0" applyFont="1" applyFill="1" applyBorder="1" applyAlignment="1" applyProtection="1">
      <alignment horizontal="left"/>
      <protection hidden="1"/>
    </xf>
    <xf numFmtId="0" fontId="28" fillId="35" borderId="0" xfId="0" applyFont="1" applyFill="1" applyAlignment="1" applyProtection="1">
      <alignment/>
      <protection hidden="1" locked="0"/>
    </xf>
    <xf numFmtId="0" fontId="28" fillId="0" borderId="0" xfId="0" applyFont="1" applyFill="1" applyAlignment="1" applyProtection="1">
      <alignment/>
      <protection hidden="1" locked="0"/>
    </xf>
    <xf numFmtId="0" fontId="82" fillId="0" borderId="24" xfId="0" applyFont="1" applyBorder="1" applyAlignment="1" applyProtection="1">
      <alignment/>
      <protection hidden="1"/>
    </xf>
    <xf numFmtId="0" fontId="82" fillId="0" borderId="25" xfId="0" applyFont="1" applyBorder="1" applyAlignment="1" applyProtection="1">
      <alignment/>
      <protection hidden="1"/>
    </xf>
    <xf numFmtId="0" fontId="82" fillId="0" borderId="26" xfId="0" applyFont="1" applyBorder="1" applyAlignment="1" applyProtection="1">
      <alignment/>
      <protection hidden="1"/>
    </xf>
    <xf numFmtId="0" fontId="35" fillId="0" borderId="0" xfId="0" applyFont="1" applyAlignment="1" applyProtection="1">
      <alignment/>
      <protection hidden="1"/>
    </xf>
    <xf numFmtId="0" fontId="32" fillId="0" borderId="0" xfId="0" applyFont="1" applyAlignment="1" applyProtection="1">
      <alignment horizontal="right"/>
      <protection hidden="1"/>
    </xf>
    <xf numFmtId="0" fontId="31" fillId="0" borderId="0" xfId="0" applyFont="1" applyAlignment="1" applyProtection="1">
      <alignment horizontal="left"/>
      <protection hidden="1"/>
    </xf>
    <xf numFmtId="0" fontId="35" fillId="0" borderId="0" xfId="0" applyFont="1" applyAlignment="1" applyProtection="1">
      <alignment horizontal="right"/>
      <protection hidden="1"/>
    </xf>
    <xf numFmtId="0" fontId="75" fillId="0" borderId="38" xfId="0" applyFont="1" applyFill="1" applyBorder="1" applyAlignment="1" applyProtection="1">
      <alignment horizontal="left"/>
      <protection hidden="1"/>
    </xf>
    <xf numFmtId="0" fontId="75" fillId="0" borderId="14" xfId="0" applyFont="1" applyFill="1" applyBorder="1" applyAlignment="1" applyProtection="1">
      <alignment horizontal="left"/>
      <protection hidden="1"/>
    </xf>
    <xf numFmtId="0" fontId="75" fillId="0" borderId="39" xfId="0" applyFont="1" applyFill="1" applyBorder="1" applyAlignment="1" applyProtection="1">
      <alignment horizontal="left"/>
      <protection hidden="1"/>
    </xf>
    <xf numFmtId="0" fontId="75" fillId="0" borderId="19" xfId="0" applyFont="1" applyFill="1" applyBorder="1" applyAlignment="1" applyProtection="1">
      <alignment horizontal="left"/>
      <protection hidden="1"/>
    </xf>
    <xf numFmtId="0" fontId="11" fillId="0" borderId="23" xfId="0" applyFont="1" applyBorder="1" applyAlignment="1" applyProtection="1">
      <alignment horizontal="left" wrapText="1"/>
      <protection hidden="1"/>
    </xf>
    <xf numFmtId="0" fontId="11" fillId="0" borderId="10" xfId="0" applyFont="1" applyBorder="1" applyAlignment="1" applyProtection="1">
      <alignment horizontal="left" wrapText="1"/>
      <protection hidden="1"/>
    </xf>
    <xf numFmtId="0" fontId="11" fillId="0" borderId="11" xfId="0" applyFont="1" applyBorder="1" applyAlignment="1" applyProtection="1">
      <alignment horizontal="left" wrapText="1"/>
      <protection hidden="1"/>
    </xf>
    <xf numFmtId="0" fontId="11" fillId="0" borderId="13" xfId="0" applyFont="1" applyBorder="1" applyAlignment="1" applyProtection="1">
      <alignment horizontal="left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1" fillId="0" borderId="12" xfId="0" applyFont="1" applyBorder="1" applyAlignment="1" applyProtection="1">
      <alignment horizontal="left" wrapText="1"/>
      <protection hidden="1"/>
    </xf>
    <xf numFmtId="0" fontId="11" fillId="0" borderId="24" xfId="0" applyFont="1" applyBorder="1" applyAlignment="1" applyProtection="1">
      <alignment horizontal="left" wrapText="1"/>
      <protection hidden="1"/>
    </xf>
    <xf numFmtId="0" fontId="11" fillId="0" borderId="25" xfId="0" applyFont="1" applyBorder="1" applyAlignment="1" applyProtection="1">
      <alignment horizontal="left" wrapText="1"/>
      <protection hidden="1"/>
    </xf>
    <xf numFmtId="0" fontId="11" fillId="0" borderId="26" xfId="0" applyFont="1" applyBorder="1" applyAlignment="1" applyProtection="1">
      <alignment horizontal="left" wrapText="1"/>
      <protection hidden="1"/>
    </xf>
    <xf numFmtId="0" fontId="37" fillId="0" borderId="23" xfId="0" applyFont="1" applyBorder="1" applyAlignment="1" applyProtection="1">
      <alignment horizontal="left" wrapText="1"/>
      <protection hidden="1"/>
    </xf>
    <xf numFmtId="0" fontId="37" fillId="0" borderId="10" xfId="0" applyFont="1" applyBorder="1" applyAlignment="1" applyProtection="1">
      <alignment horizontal="left" wrapText="1"/>
      <protection hidden="1"/>
    </xf>
    <xf numFmtId="0" fontId="37" fillId="0" borderId="11" xfId="0" applyFont="1" applyBorder="1" applyAlignment="1" applyProtection="1">
      <alignment horizontal="left" wrapText="1"/>
      <protection hidden="1"/>
    </xf>
    <xf numFmtId="0" fontId="37" fillId="0" borderId="13" xfId="0" applyFont="1" applyBorder="1" applyAlignment="1" applyProtection="1">
      <alignment horizontal="left" wrapText="1"/>
      <protection hidden="1"/>
    </xf>
    <xf numFmtId="0" fontId="37" fillId="0" borderId="0" xfId="0" applyFont="1" applyBorder="1" applyAlignment="1" applyProtection="1">
      <alignment horizontal="left" wrapText="1"/>
      <protection hidden="1"/>
    </xf>
    <xf numFmtId="0" fontId="37" fillId="0" borderId="12" xfId="0" applyFont="1" applyBorder="1" applyAlignment="1" applyProtection="1">
      <alignment horizontal="left" wrapText="1"/>
      <protection hidden="1"/>
    </xf>
    <xf numFmtId="0" fontId="37" fillId="0" borderId="24" xfId="0" applyFont="1" applyBorder="1" applyAlignment="1" applyProtection="1">
      <alignment horizontal="left" wrapText="1"/>
      <protection hidden="1"/>
    </xf>
    <xf numFmtId="0" fontId="37" fillId="0" borderId="25" xfId="0" applyFont="1" applyBorder="1" applyAlignment="1" applyProtection="1">
      <alignment horizontal="left" wrapText="1"/>
      <protection hidden="1"/>
    </xf>
    <xf numFmtId="0" fontId="37" fillId="0" borderId="26" xfId="0" applyFont="1" applyBorder="1" applyAlignment="1" applyProtection="1">
      <alignment horizontal="left" wrapText="1"/>
      <protection hidden="1"/>
    </xf>
    <xf numFmtId="0" fontId="32" fillId="36" borderId="0" xfId="0" applyFont="1" applyFill="1" applyAlignment="1" applyProtection="1">
      <alignment horizontal="center"/>
      <protection hidden="1"/>
    </xf>
    <xf numFmtId="0" fontId="26" fillId="0" borderId="35" xfId="0" applyFont="1" applyFill="1" applyBorder="1" applyAlignment="1" applyProtection="1">
      <alignment horizontal="left"/>
      <protection hidden="1"/>
    </xf>
    <xf numFmtId="0" fontId="26" fillId="0" borderId="36" xfId="0" applyFont="1" applyFill="1" applyBorder="1" applyAlignment="1" applyProtection="1">
      <alignment horizontal="left"/>
      <protection hidden="1"/>
    </xf>
    <xf numFmtId="0" fontId="26" fillId="0" borderId="37" xfId="0" applyFont="1" applyFill="1" applyBorder="1" applyAlignment="1" applyProtection="1">
      <alignment horizontal="left"/>
      <protection hidden="1"/>
    </xf>
    <xf numFmtId="0" fontId="13" fillId="0" borderId="40" xfId="0" applyFont="1" applyFill="1" applyBorder="1" applyAlignment="1" applyProtection="1">
      <alignment horizontal="left"/>
      <protection hidden="1"/>
    </xf>
    <xf numFmtId="0" fontId="13" fillId="0" borderId="41" xfId="0" applyFont="1" applyFill="1" applyBorder="1" applyAlignment="1" applyProtection="1">
      <alignment horizontal="left"/>
      <protection hidden="1"/>
    </xf>
    <xf numFmtId="0" fontId="24" fillId="37" borderId="23" xfId="0" applyFont="1" applyFill="1" applyBorder="1" applyAlignment="1" applyProtection="1">
      <alignment horizontal="left"/>
      <protection hidden="1"/>
    </xf>
    <xf numFmtId="0" fontId="24" fillId="37" borderId="10" xfId="0" applyFont="1" applyFill="1" applyBorder="1" applyAlignment="1" applyProtection="1">
      <alignment horizontal="left"/>
      <protection hidden="1"/>
    </xf>
    <xf numFmtId="0" fontId="24" fillId="37" borderId="11" xfId="0" applyFont="1" applyFill="1" applyBorder="1" applyAlignment="1" applyProtection="1">
      <alignment horizontal="left"/>
      <protection hidden="1"/>
    </xf>
    <xf numFmtId="0" fontId="26" fillId="37" borderId="24" xfId="0" applyFont="1" applyFill="1" applyBorder="1" applyAlignment="1" applyProtection="1">
      <alignment horizontal="left"/>
      <protection hidden="1"/>
    </xf>
    <xf numFmtId="0" fontId="26" fillId="37" borderId="25" xfId="0" applyFont="1" applyFill="1" applyBorder="1" applyAlignment="1" applyProtection="1">
      <alignment horizontal="left"/>
      <protection hidden="1"/>
    </xf>
    <xf numFmtId="0" fontId="26" fillId="37" borderId="26" xfId="0" applyFont="1" applyFill="1" applyBorder="1" applyAlignment="1" applyProtection="1">
      <alignment horizontal="left"/>
      <protection hidden="1"/>
    </xf>
    <xf numFmtId="0" fontId="75" fillId="37" borderId="35" xfId="0" applyFont="1" applyFill="1" applyBorder="1" applyAlignment="1" applyProtection="1">
      <alignment horizontal="left"/>
      <protection hidden="1"/>
    </xf>
    <xf numFmtId="0" fontId="75" fillId="37" borderId="36" xfId="0" applyFont="1" applyFill="1" applyBorder="1" applyAlignment="1" applyProtection="1">
      <alignment horizontal="left"/>
      <protection hidden="1"/>
    </xf>
    <xf numFmtId="0" fontId="75" fillId="37" borderId="37" xfId="0" applyFont="1" applyFill="1" applyBorder="1" applyAlignment="1" applyProtection="1">
      <alignment horizontal="left"/>
      <protection hidden="1"/>
    </xf>
    <xf numFmtId="0" fontId="75" fillId="0" borderId="27" xfId="0" applyFont="1" applyFill="1" applyBorder="1" applyAlignment="1" applyProtection="1">
      <alignment horizontal="left" vertical="center"/>
      <protection hidden="1"/>
    </xf>
    <xf numFmtId="0" fontId="75" fillId="0" borderId="28" xfId="0" applyFont="1" applyFill="1" applyBorder="1" applyAlignment="1" applyProtection="1">
      <alignment horizontal="left" vertical="center"/>
      <protection hidden="1"/>
    </xf>
    <xf numFmtId="0" fontId="75" fillId="0" borderId="16" xfId="0" applyFont="1" applyFill="1" applyBorder="1" applyAlignment="1" applyProtection="1">
      <alignment horizontal="left" vertical="center"/>
      <protection hidden="1"/>
    </xf>
    <xf numFmtId="0" fontId="75" fillId="0" borderId="22" xfId="0" applyFont="1" applyFill="1" applyBorder="1" applyAlignment="1" applyProtection="1">
      <alignment horizontal="left" vertic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22" xfId="0" applyFont="1" applyFill="1" applyBorder="1" applyAlignment="1" applyProtection="1">
      <alignment horizontal="center"/>
      <protection hidden="1"/>
    </xf>
    <xf numFmtId="0" fontId="10" fillId="0" borderId="15" xfId="0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0">
    <dxf>
      <font>
        <b/>
        <i val="0"/>
        <color rgb="FFFF0000"/>
      </font>
      <fill>
        <patternFill patternType="solid"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 patternType="solid"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 patternType="solid"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 patternType="solid"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 patternType="solid"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 patternType="solid"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 patternType="solid"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 patternType="solid"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 patternType="solid"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 patternType="solid"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 patternType="solid"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 patternType="solid"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 patternType="solid"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 patternType="solid">
          <bgColor rgb="FFFFFF00"/>
        </patternFill>
      </fill>
    </dxf>
    <dxf>
      <font>
        <b/>
        <i val="0"/>
        <color rgb="FFFF0000"/>
      </font>
      <fill>
        <patternFill patternType="solid"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361950</xdr:colOff>
      <xdr:row>0</xdr:row>
      <xdr:rowOff>0</xdr:rowOff>
    </xdr:from>
    <xdr:to>
      <xdr:col>10</xdr:col>
      <xdr:colOff>476250</xdr:colOff>
      <xdr:row>2</xdr:row>
      <xdr:rowOff>66675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0"/>
          <a:ext cx="1571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</xdr:row>
      <xdr:rowOff>190500</xdr:rowOff>
    </xdr:from>
    <xdr:to>
      <xdr:col>26</xdr:col>
      <xdr:colOff>323850</xdr:colOff>
      <xdr:row>28</xdr:row>
      <xdr:rowOff>47625</xdr:rowOff>
    </xdr:to>
    <xdr:pic>
      <xdr:nvPicPr>
        <xdr:cNvPr id="2" name="图片 3"/>
        <xdr:cNvPicPr preferRelativeResize="1">
          <a:picLocks noChangeAspect="1"/>
        </xdr:cNvPicPr>
      </xdr:nvPicPr>
      <xdr:blipFill>
        <a:blip r:embed="rId2"/>
        <a:srcRect l="3181" t="6269" r="2830" b="8464"/>
        <a:stretch>
          <a:fillRect/>
        </a:stretch>
      </xdr:blipFill>
      <xdr:spPr>
        <a:xfrm>
          <a:off x="6772275" y="809625"/>
          <a:ext cx="7934325" cy="530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1</xdr:row>
      <xdr:rowOff>171450</xdr:rowOff>
    </xdr:from>
    <xdr:to>
      <xdr:col>13</xdr:col>
      <xdr:colOff>495300</xdr:colOff>
      <xdr:row>30</xdr:row>
      <xdr:rowOff>0</xdr:rowOff>
    </xdr:to>
    <xdr:pic>
      <xdr:nvPicPr>
        <xdr:cNvPr id="1" name="图片 4"/>
        <xdr:cNvPicPr preferRelativeResize="1">
          <a:picLocks noChangeAspect="1"/>
        </xdr:cNvPicPr>
      </xdr:nvPicPr>
      <xdr:blipFill>
        <a:blip r:embed="rId1"/>
        <a:srcRect l="3181" t="6269" r="2830" b="8464"/>
        <a:stretch>
          <a:fillRect/>
        </a:stretch>
      </xdr:blipFill>
      <xdr:spPr>
        <a:xfrm>
          <a:off x="438150" y="428625"/>
          <a:ext cx="7858125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34</xdr:row>
      <xdr:rowOff>123825</xdr:rowOff>
    </xdr:from>
    <xdr:to>
      <xdr:col>9</xdr:col>
      <xdr:colOff>228600</xdr:colOff>
      <xdr:row>63</xdr:row>
      <xdr:rowOff>152400</xdr:rowOff>
    </xdr:to>
    <xdr:pic>
      <xdr:nvPicPr>
        <xdr:cNvPr id="2" name="Picture 20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734175"/>
          <a:ext cx="4867275" cy="555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65</xdr:row>
      <xdr:rowOff>114300</xdr:rowOff>
    </xdr:from>
    <xdr:to>
      <xdr:col>9</xdr:col>
      <xdr:colOff>104775</xdr:colOff>
      <xdr:row>87</xdr:row>
      <xdr:rowOff>104775</xdr:rowOff>
    </xdr:to>
    <xdr:pic>
      <xdr:nvPicPr>
        <xdr:cNvPr id="3" name="Picture 20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12630150"/>
          <a:ext cx="4724400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Zeros="0" defaultGridColor="0" zoomScalePageLayoutView="0" colorId="0" workbookViewId="0" topLeftCell="A1">
      <selection activeCell="A7" sqref="A7"/>
    </sheetView>
  </sheetViews>
  <sheetFormatPr defaultColWidth="9.140625" defaultRowHeight="15"/>
  <sheetData>
    <row r="2" ht="13.5">
      <c r="A2" s="54"/>
    </row>
    <row r="3" ht="13.5">
      <c r="A3" s="54"/>
    </row>
    <row r="4" ht="13.5">
      <c r="A4" s="54"/>
    </row>
    <row r="5" ht="13.5">
      <c r="A5" s="54"/>
    </row>
    <row r="6" ht="13.5">
      <c r="A6" s="54"/>
    </row>
    <row r="7" ht="13.5">
      <c r="A7" s="5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"/>
  <sheetViews>
    <sheetView tabSelected="1" zoomScale="85" zoomScaleNormal="85" zoomScalePageLayoutView="0" workbookViewId="0" topLeftCell="A1">
      <selection activeCell="C22" sqref="C22"/>
    </sheetView>
  </sheetViews>
  <sheetFormatPr defaultColWidth="9.140625" defaultRowHeight="15"/>
  <cols>
    <col min="1" max="1" width="19.57421875" style="146" customWidth="1"/>
    <col min="2" max="2" width="9.8515625" style="181" customWidth="1"/>
    <col min="3" max="3" width="8.28125" style="182" customWidth="1"/>
    <col min="4" max="4" width="4.421875" style="182" hidden="1" customWidth="1"/>
    <col min="5" max="5" width="5.57421875" style="183" customWidth="1"/>
    <col min="6" max="6" width="1.8515625" style="181" customWidth="1"/>
    <col min="7" max="7" width="13.421875" style="181" customWidth="1"/>
    <col min="8" max="8" width="5.7109375" style="181" customWidth="1"/>
    <col min="9" max="9" width="13.00390625" style="146" customWidth="1"/>
    <col min="10" max="10" width="8.8515625" style="184" customWidth="1"/>
    <col min="11" max="11" width="7.421875" style="146" customWidth="1"/>
    <col min="12" max="13" width="2.57421875" style="146" customWidth="1"/>
    <col min="14" max="16384" width="9.00390625" style="146" customWidth="1"/>
  </cols>
  <sheetData>
    <row r="1" spans="1:13" s="127" customFormat="1" ht="23.25" customHeight="1" thickBot="1">
      <c r="A1" s="213" t="s">
        <v>103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  <c r="L1" s="125"/>
      <c r="M1" s="126"/>
    </row>
    <row r="2" spans="1:27" s="127" customFormat="1" ht="25.5" customHeight="1" thickBot="1">
      <c r="A2" s="216" t="s">
        <v>104</v>
      </c>
      <c r="B2" s="217"/>
      <c r="C2" s="217"/>
      <c r="D2" s="217"/>
      <c r="E2" s="217"/>
      <c r="F2" s="217"/>
      <c r="G2" s="217"/>
      <c r="H2" s="217"/>
      <c r="I2" s="217"/>
      <c r="J2" s="217"/>
      <c r="K2" s="218"/>
      <c r="L2" s="125"/>
      <c r="M2" s="126"/>
      <c r="N2" s="128" t="s">
        <v>105</v>
      </c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30"/>
    </row>
    <row r="3" spans="1:27" s="127" customFormat="1" ht="16.5" customHeight="1" thickBot="1">
      <c r="A3" s="219" t="s">
        <v>106</v>
      </c>
      <c r="B3" s="220"/>
      <c r="C3" s="220"/>
      <c r="D3" s="220"/>
      <c r="E3" s="220"/>
      <c r="F3" s="220"/>
      <c r="G3" s="221"/>
      <c r="H3" s="131" t="s">
        <v>107</v>
      </c>
      <c r="I3" s="131"/>
      <c r="J3" s="131" t="s">
        <v>108</v>
      </c>
      <c r="K3" s="131"/>
      <c r="L3" s="132"/>
      <c r="M3" s="133"/>
      <c r="N3" s="134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6"/>
    </row>
    <row r="4" spans="1:27" s="127" customFormat="1" ht="18" customHeight="1" thickBot="1">
      <c r="A4" s="137" t="s">
        <v>109</v>
      </c>
      <c r="B4" s="135"/>
      <c r="C4" s="135"/>
      <c r="D4" s="135"/>
      <c r="E4" s="138"/>
      <c r="F4" s="139"/>
      <c r="G4" s="140"/>
      <c r="H4" s="141" t="s">
        <v>110</v>
      </c>
      <c r="I4" s="141"/>
      <c r="J4" s="141" t="s">
        <v>111</v>
      </c>
      <c r="K4" s="141"/>
      <c r="L4" s="132"/>
      <c r="M4" s="133"/>
      <c r="N4" s="134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6"/>
    </row>
    <row r="5" spans="1:27" ht="16.5" thickBot="1">
      <c r="A5" s="56" t="s">
        <v>112</v>
      </c>
      <c r="B5" s="57" t="s">
        <v>63</v>
      </c>
      <c r="C5" s="58">
        <v>85</v>
      </c>
      <c r="D5" s="59"/>
      <c r="E5" s="60" t="s">
        <v>75</v>
      </c>
      <c r="F5" s="127"/>
      <c r="G5" s="140"/>
      <c r="H5" s="142" t="s">
        <v>113</v>
      </c>
      <c r="I5" s="142"/>
      <c r="J5" s="142" t="s">
        <v>114</v>
      </c>
      <c r="K5" s="142"/>
      <c r="L5" s="132"/>
      <c r="M5" s="133"/>
      <c r="N5" s="143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5"/>
    </row>
    <row r="6" spans="1:27" ht="18.75">
      <c r="A6" s="61" t="s">
        <v>115</v>
      </c>
      <c r="B6" s="62" t="s">
        <v>64</v>
      </c>
      <c r="C6" s="63">
        <v>264</v>
      </c>
      <c r="D6" s="64"/>
      <c r="E6" s="65" t="s">
        <v>75</v>
      </c>
      <c r="F6" s="127"/>
      <c r="G6" s="147" t="s">
        <v>116</v>
      </c>
      <c r="H6" s="148"/>
      <c r="I6" s="149"/>
      <c r="J6" s="150"/>
      <c r="K6" s="151"/>
      <c r="L6" s="132"/>
      <c r="M6" s="133"/>
      <c r="N6" s="143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5"/>
    </row>
    <row r="7" spans="1:27" ht="15.75">
      <c r="A7" s="61" t="s">
        <v>117</v>
      </c>
      <c r="B7" s="62" t="s">
        <v>8</v>
      </c>
      <c r="C7" s="63">
        <v>36</v>
      </c>
      <c r="D7" s="64"/>
      <c r="E7" s="65" t="s">
        <v>75</v>
      </c>
      <c r="F7" s="127"/>
      <c r="G7" s="93" t="s">
        <v>118</v>
      </c>
      <c r="H7" s="94"/>
      <c r="I7" s="94"/>
      <c r="J7" s="94"/>
      <c r="K7" s="152"/>
      <c r="L7" s="132"/>
      <c r="M7" s="133"/>
      <c r="N7" s="143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5"/>
    </row>
    <row r="8" spans="1:27" ht="15.75">
      <c r="A8" s="153" t="s">
        <v>119</v>
      </c>
      <c r="B8" s="62" t="s">
        <v>0</v>
      </c>
      <c r="C8" s="63">
        <v>1</v>
      </c>
      <c r="D8" s="64"/>
      <c r="E8" s="65" t="s">
        <v>1</v>
      </c>
      <c r="F8" s="127"/>
      <c r="G8" s="93" t="s">
        <v>120</v>
      </c>
      <c r="H8" s="94"/>
      <c r="I8" s="94"/>
      <c r="J8" s="95"/>
      <c r="K8" s="152"/>
      <c r="L8" s="132"/>
      <c r="M8" s="133"/>
      <c r="N8" s="143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5"/>
    </row>
    <row r="9" spans="1:27" ht="15.75" customHeight="1">
      <c r="A9" s="61" t="s">
        <v>121</v>
      </c>
      <c r="B9" s="62" t="s">
        <v>9</v>
      </c>
      <c r="C9" s="66">
        <v>19.5</v>
      </c>
      <c r="D9" s="67" t="str">
        <f>IF(AND(8.2&lt;C9,C9&lt;18.2),C9," ")</f>
        <v> </v>
      </c>
      <c r="E9" s="65" t="str">
        <f>IF(C9&lt;19,"太小",IF(C9&lt;24.1,"V","太大"))</f>
        <v>V</v>
      </c>
      <c r="F9" s="146" t="s">
        <v>122</v>
      </c>
      <c r="G9" s="93" t="s">
        <v>123</v>
      </c>
      <c r="H9" s="94"/>
      <c r="I9" s="94"/>
      <c r="J9" s="95"/>
      <c r="K9" s="152"/>
      <c r="L9" s="132"/>
      <c r="M9" s="133"/>
      <c r="N9" s="143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5"/>
    </row>
    <row r="10" spans="1:27" ht="15.75">
      <c r="A10" s="153" t="s">
        <v>124</v>
      </c>
      <c r="B10" s="62" t="s">
        <v>65</v>
      </c>
      <c r="C10" s="68">
        <v>55</v>
      </c>
      <c r="D10" s="64" t="str">
        <f>IF(AND(0.2&lt;C10,C10&lt;0.44),C10," ")</f>
        <v> </v>
      </c>
      <c r="E10" s="65" t="str">
        <f>IF(C10&lt;35,"太小",IF(C10&lt;80.1,"KHz","太大"))</f>
        <v>KHz</v>
      </c>
      <c r="F10" s="146" t="s">
        <v>122</v>
      </c>
      <c r="G10" s="93" t="s">
        <v>125</v>
      </c>
      <c r="H10" s="96"/>
      <c r="I10" s="96"/>
      <c r="J10" s="96"/>
      <c r="K10" s="152"/>
      <c r="L10" s="132"/>
      <c r="M10" s="133"/>
      <c r="N10" s="143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5"/>
    </row>
    <row r="11" spans="1:27" ht="15.75">
      <c r="A11" s="121" t="s">
        <v>126</v>
      </c>
      <c r="B11" s="62" t="s">
        <v>66</v>
      </c>
      <c r="C11" s="118">
        <v>80</v>
      </c>
      <c r="D11" s="64">
        <f>IF(C11&lt;(C6*SQRT(2)+60),0,IF(C11&lt;(C6*SQRT(2)+150),C11,0))</f>
        <v>0</v>
      </c>
      <c r="E11" s="65" t="str">
        <f>IF(C11&lt;70,"太小",IF(C11&lt;120.1,"V","太大"))</f>
        <v>V</v>
      </c>
      <c r="F11" s="146" t="s">
        <v>122</v>
      </c>
      <c r="G11" s="154" t="s">
        <v>127</v>
      </c>
      <c r="H11" s="94"/>
      <c r="I11" s="94"/>
      <c r="J11" s="94"/>
      <c r="K11" s="152"/>
      <c r="L11" s="132"/>
      <c r="M11" s="133"/>
      <c r="N11" s="143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5"/>
    </row>
    <row r="12" spans="1:27" ht="16.5" thickBot="1">
      <c r="A12" s="82" t="s">
        <v>128</v>
      </c>
      <c r="B12" s="69" t="s">
        <v>129</v>
      </c>
      <c r="C12" s="122">
        <f>25000/(C7/C8)</f>
        <v>694.4444444444445</v>
      </c>
      <c r="D12" s="81"/>
      <c r="E12" s="123" t="s">
        <v>130</v>
      </c>
      <c r="F12" s="127"/>
      <c r="G12" s="155"/>
      <c r="H12" s="156"/>
      <c r="I12" s="157"/>
      <c r="J12" s="157"/>
      <c r="K12" s="158"/>
      <c r="L12" s="132"/>
      <c r="M12" s="133"/>
      <c r="N12" s="143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5"/>
    </row>
    <row r="13" spans="1:27" ht="16.5" thickBot="1">
      <c r="A13" s="94"/>
      <c r="B13" s="117"/>
      <c r="C13" s="119"/>
      <c r="D13" s="159"/>
      <c r="E13" s="120"/>
      <c r="F13" s="127"/>
      <c r="G13" s="160"/>
      <c r="H13" s="160"/>
      <c r="I13" s="126"/>
      <c r="J13" s="126"/>
      <c r="K13" s="126"/>
      <c r="L13" s="132"/>
      <c r="M13" s="133"/>
      <c r="N13" s="143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5"/>
    </row>
    <row r="14" spans="1:27" ht="19.5" thickBot="1">
      <c r="A14" s="161" t="s">
        <v>131</v>
      </c>
      <c r="B14" s="162"/>
      <c r="C14" s="163"/>
      <c r="D14" s="164"/>
      <c r="E14" s="165"/>
      <c r="F14" s="146"/>
      <c r="G14" s="147" t="s">
        <v>132</v>
      </c>
      <c r="H14" s="148"/>
      <c r="I14" s="149"/>
      <c r="J14" s="149"/>
      <c r="K14" s="151"/>
      <c r="L14" s="132"/>
      <c r="M14" s="133"/>
      <c r="N14" s="143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5"/>
    </row>
    <row r="15" spans="1:27" ht="15.75">
      <c r="A15" s="56" t="s">
        <v>133</v>
      </c>
      <c r="B15" s="57" t="s">
        <v>76</v>
      </c>
      <c r="C15" s="71">
        <v>88</v>
      </c>
      <c r="D15" s="72"/>
      <c r="E15" s="65" t="str">
        <f>IF(C15&lt;80,"太小",IF(C15&lt;92,"%","太大"))</f>
        <v>%</v>
      </c>
      <c r="F15" s="127"/>
      <c r="G15" s="222" t="s">
        <v>134</v>
      </c>
      <c r="H15" s="223"/>
      <c r="I15" s="115" t="s">
        <v>90</v>
      </c>
      <c r="J15" s="97">
        <v>12</v>
      </c>
      <c r="K15" s="166" t="s">
        <v>91</v>
      </c>
      <c r="L15" s="132"/>
      <c r="M15" s="133"/>
      <c r="N15" s="143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5"/>
    </row>
    <row r="16" spans="1:27" ht="18">
      <c r="A16" s="61" t="s">
        <v>135</v>
      </c>
      <c r="B16" s="62" t="s">
        <v>77</v>
      </c>
      <c r="C16" s="73">
        <v>62</v>
      </c>
      <c r="D16" s="74"/>
      <c r="E16" s="65" t="s">
        <v>78</v>
      </c>
      <c r="F16" s="127"/>
      <c r="G16" s="224" t="s">
        <v>136</v>
      </c>
      <c r="H16" s="225"/>
      <c r="I16" s="116" t="s">
        <v>92</v>
      </c>
      <c r="J16" s="98">
        <v>3</v>
      </c>
      <c r="K16" s="167" t="s">
        <v>91</v>
      </c>
      <c r="L16" s="132"/>
      <c r="M16" s="133"/>
      <c r="N16" s="143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5"/>
    </row>
    <row r="17" spans="1:27" ht="15.75">
      <c r="A17" s="61" t="s">
        <v>137</v>
      </c>
      <c r="B17" s="62" t="s">
        <v>2</v>
      </c>
      <c r="C17" s="75">
        <v>0.283</v>
      </c>
      <c r="D17" s="64">
        <f>IF(AND(0&lt;C17,C17&lt;0.33),C17," ")</f>
        <v>0.283</v>
      </c>
      <c r="E17" s="65" t="str">
        <f>IF(C17&lt;0.2,"太小",IF(C17&lt;0.311,"T","饱和"))</f>
        <v>T</v>
      </c>
      <c r="F17" s="127"/>
      <c r="G17" s="168" t="s">
        <v>138</v>
      </c>
      <c r="H17" s="103"/>
      <c r="I17" s="116" t="s">
        <v>93</v>
      </c>
      <c r="J17" s="85">
        <f>IF(AND(0&lt;J19+J20+J21+J22,J19+J20+J21+J22&lt;J16),J19+J20+J21+J22,"太厚")</f>
        <v>1.73</v>
      </c>
      <c r="K17" s="65" t="str">
        <f>IF(AND(0&lt;J19+J20+J21+J22,J19+J20+J21+J22&lt;J16),"mm","超过槽深")</f>
        <v>mm</v>
      </c>
      <c r="L17" s="132"/>
      <c r="M17" s="133"/>
      <c r="N17" s="143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5"/>
    </row>
    <row r="18" spans="1:27" ht="15.75">
      <c r="A18" s="61" t="s">
        <v>139</v>
      </c>
      <c r="B18" s="62" t="s">
        <v>3</v>
      </c>
      <c r="C18" s="76">
        <f>(C15/100)*C5*C5*C25*1.89/3.14/C7/C8/(1.213+(C5*1.414/C11))</f>
        <v>284.4495700297829</v>
      </c>
      <c r="D18" s="77"/>
      <c r="E18" s="167" t="s">
        <v>4</v>
      </c>
      <c r="F18" s="127"/>
      <c r="G18" s="226" t="s">
        <v>140</v>
      </c>
      <c r="H18" s="227"/>
      <c r="I18" s="104" t="s">
        <v>141</v>
      </c>
      <c r="J18" s="227" t="s">
        <v>142</v>
      </c>
      <c r="K18" s="228"/>
      <c r="L18" s="132"/>
      <c r="M18" s="133"/>
      <c r="N18" s="143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5"/>
    </row>
    <row r="19" spans="1:27" ht="15.75">
      <c r="A19" s="61" t="s">
        <v>143</v>
      </c>
      <c r="B19" s="62" t="s">
        <v>5</v>
      </c>
      <c r="C19" s="78">
        <f>C18*C30/C16/C17</f>
        <v>49.77085805354235</v>
      </c>
      <c r="D19" s="79"/>
      <c r="E19" s="167" t="s">
        <v>144</v>
      </c>
      <c r="F19" s="146" t="s">
        <v>122</v>
      </c>
      <c r="G19" s="99">
        <v>0.23</v>
      </c>
      <c r="H19" s="169" t="s">
        <v>91</v>
      </c>
      <c r="I19" s="100">
        <f>C19*G19*1.05/J15</f>
        <v>1.0016385183275398</v>
      </c>
      <c r="J19" s="101">
        <f>CEILING(I19,1)*G19</f>
        <v>0.46</v>
      </c>
      <c r="K19" s="167" t="s">
        <v>91</v>
      </c>
      <c r="L19" s="132"/>
      <c r="M19" s="133"/>
      <c r="N19" s="143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5"/>
    </row>
    <row r="20" spans="1:27" ht="15.75">
      <c r="A20" s="61" t="s">
        <v>145</v>
      </c>
      <c r="B20" s="62" t="s">
        <v>6</v>
      </c>
      <c r="C20" s="78">
        <f>C19/C22</f>
        <v>22.396886124094056</v>
      </c>
      <c r="D20" s="79"/>
      <c r="E20" s="167" t="s">
        <v>144</v>
      </c>
      <c r="F20" s="146" t="s">
        <v>122</v>
      </c>
      <c r="G20" s="99">
        <v>0.45</v>
      </c>
      <c r="H20" s="169" t="s">
        <v>91</v>
      </c>
      <c r="I20" s="100">
        <f>C20*G20*1.05/J15</f>
        <v>0.8818773911362036</v>
      </c>
      <c r="J20" s="101">
        <f>CEILING(I20,1)*G20</f>
        <v>0.45</v>
      </c>
      <c r="K20" s="167" t="s">
        <v>91</v>
      </c>
      <c r="L20" s="132"/>
      <c r="M20" s="133"/>
      <c r="N20" s="143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5"/>
    </row>
    <row r="21" spans="1:27" ht="15.75">
      <c r="A21" s="61" t="s">
        <v>146</v>
      </c>
      <c r="B21" s="62" t="s">
        <v>7</v>
      </c>
      <c r="C21" s="78">
        <f>C20*C9/C7</f>
        <v>12.131646650550946</v>
      </c>
      <c r="D21" s="79"/>
      <c r="E21" s="167" t="s">
        <v>144</v>
      </c>
      <c r="F21" s="146" t="s">
        <v>122</v>
      </c>
      <c r="G21" s="99">
        <v>0.12</v>
      </c>
      <c r="H21" s="169" t="s">
        <v>91</v>
      </c>
      <c r="I21" s="100">
        <f>C21*G21*1.05/J15</f>
        <v>0.12738228983078495</v>
      </c>
      <c r="J21" s="101">
        <f>CEILING(I21,1)*G21</f>
        <v>0.12</v>
      </c>
      <c r="K21" s="167" t="s">
        <v>91</v>
      </c>
      <c r="L21" s="132"/>
      <c r="M21" s="133"/>
      <c r="N21" s="143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5"/>
    </row>
    <row r="22" spans="1:27" ht="16.5" thickBot="1">
      <c r="A22" s="82" t="s">
        <v>147</v>
      </c>
      <c r="B22" s="69" t="s">
        <v>67</v>
      </c>
      <c r="C22" s="80">
        <f>C11/C7</f>
        <v>2.2222222222222223</v>
      </c>
      <c r="D22" s="81"/>
      <c r="E22" s="123"/>
      <c r="F22" s="127"/>
      <c r="G22" s="82" t="s">
        <v>148</v>
      </c>
      <c r="H22" s="105"/>
      <c r="I22" s="69"/>
      <c r="J22" s="102">
        <v>0.7</v>
      </c>
      <c r="K22" s="123" t="s">
        <v>91</v>
      </c>
      <c r="L22" s="132"/>
      <c r="M22" s="133"/>
      <c r="N22" s="143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5"/>
    </row>
    <row r="23" spans="1:27" ht="16.5" thickBot="1">
      <c r="A23" s="170"/>
      <c r="B23" s="171"/>
      <c r="C23" s="159"/>
      <c r="D23" s="159"/>
      <c r="E23" s="172"/>
      <c r="F23" s="127"/>
      <c r="G23" s="171"/>
      <c r="H23" s="159"/>
      <c r="I23" s="170"/>
      <c r="J23" s="171"/>
      <c r="K23" s="159"/>
      <c r="L23" s="132"/>
      <c r="M23" s="133"/>
      <c r="N23" s="143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5"/>
    </row>
    <row r="24" spans="1:27" ht="19.5" thickBot="1">
      <c r="A24" s="173" t="s">
        <v>149</v>
      </c>
      <c r="B24" s="148"/>
      <c r="C24" s="174"/>
      <c r="D24" s="174"/>
      <c r="E24" s="175"/>
      <c r="F24" s="127"/>
      <c r="G24" s="208" t="s">
        <v>150</v>
      </c>
      <c r="H24" s="209"/>
      <c r="I24" s="209"/>
      <c r="J24" s="209"/>
      <c r="K24" s="210"/>
      <c r="L24" s="132"/>
      <c r="M24" s="133"/>
      <c r="N24" s="143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5"/>
    </row>
    <row r="25" spans="1:27" ht="15.75">
      <c r="A25" s="56" t="s">
        <v>151</v>
      </c>
      <c r="B25" s="57" t="s">
        <v>80</v>
      </c>
      <c r="C25" s="83">
        <f>1000*C11/(C11+C5*1.414)/C10</f>
        <v>7.2658247392250095</v>
      </c>
      <c r="D25" s="84"/>
      <c r="E25" s="65" t="str">
        <f>IF(C25&lt;25.1,"uS","太大”")</f>
        <v>uS</v>
      </c>
      <c r="F25" s="127"/>
      <c r="G25" s="211" t="s">
        <v>152</v>
      </c>
      <c r="H25" s="212"/>
      <c r="I25" s="109" t="s">
        <v>8</v>
      </c>
      <c r="J25" s="106">
        <v>36</v>
      </c>
      <c r="K25" s="65" t="str">
        <f>IF(J25/C7*C9&lt;9,"太小",IF(J25&lt;(C7+0.1),"V","太大"))</f>
        <v>V</v>
      </c>
      <c r="L25" s="132"/>
      <c r="M25" s="133"/>
      <c r="N25" s="143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5"/>
    </row>
    <row r="26" spans="1:27" ht="15.75">
      <c r="A26" s="61" t="s">
        <v>153</v>
      </c>
      <c r="B26" s="62" t="s">
        <v>81</v>
      </c>
      <c r="C26" s="85">
        <f>C5*1.414*C25/C11</f>
        <v>10.915993442593173</v>
      </c>
      <c r="D26" s="86"/>
      <c r="E26" s="167" t="s">
        <v>79</v>
      </c>
      <c r="F26" s="146"/>
      <c r="G26" s="185" t="s">
        <v>121</v>
      </c>
      <c r="H26" s="186"/>
      <c r="I26" s="62" t="s">
        <v>9</v>
      </c>
      <c r="J26" s="85">
        <f>J25*C21/C20</f>
        <v>19.5</v>
      </c>
      <c r="K26" s="65" t="str">
        <f>IF(J26&lt;9,"欠压保护",IF(J26&lt;24.01,"V","过压保护"))</f>
        <v>V</v>
      </c>
      <c r="L26" s="132"/>
      <c r="M26" s="133"/>
      <c r="N26" s="143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5"/>
    </row>
    <row r="27" spans="1:27" ht="15.75">
      <c r="A27" s="61" t="s">
        <v>154</v>
      </c>
      <c r="B27" s="62" t="s">
        <v>65</v>
      </c>
      <c r="C27" s="87">
        <f>1000/(C25+C26)</f>
        <v>54.99999999999999</v>
      </c>
      <c r="D27" s="86"/>
      <c r="E27" s="65" t="s">
        <v>82</v>
      </c>
      <c r="F27" s="127"/>
      <c r="G27" s="185" t="s">
        <v>155</v>
      </c>
      <c r="H27" s="186"/>
      <c r="I27" s="62" t="s">
        <v>94</v>
      </c>
      <c r="J27" s="85">
        <f>J25*C8*3.14*C18*(1.213+C5*1.414/(J25*C22))/(C15/100)/C5/C5/1.89</f>
        <v>7.265824739225009</v>
      </c>
      <c r="K27" s="65" t="s">
        <v>79</v>
      </c>
      <c r="L27" s="132"/>
      <c r="M27" s="133"/>
      <c r="N27" s="143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5"/>
    </row>
    <row r="28" spans="1:27" ht="15.75">
      <c r="A28" s="61" t="s">
        <v>156</v>
      </c>
      <c r="B28" s="62" t="s">
        <v>83</v>
      </c>
      <c r="C28" s="85">
        <f>C7*C8*3.14*C18*(1.213+(C6*1.414/C11))/(C15/100)/C6/C6/1.89</f>
        <v>1.6308098833343934</v>
      </c>
      <c r="D28" s="86"/>
      <c r="E28" s="167" t="s">
        <v>79</v>
      </c>
      <c r="F28" s="135"/>
      <c r="G28" s="185" t="s">
        <v>157</v>
      </c>
      <c r="H28" s="186"/>
      <c r="I28" s="62" t="s">
        <v>95</v>
      </c>
      <c r="J28" s="85">
        <f>C5*1.414*J27/(J25*C22)</f>
        <v>10.915993442593173</v>
      </c>
      <c r="K28" s="65" t="s">
        <v>79</v>
      </c>
      <c r="L28" s="132"/>
      <c r="M28" s="133"/>
      <c r="N28" s="143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5"/>
    </row>
    <row r="29" spans="1:27" ht="15.75">
      <c r="A29" s="90" t="s">
        <v>158</v>
      </c>
      <c r="B29" s="62" t="s">
        <v>84</v>
      </c>
      <c r="C29" s="87">
        <f>IF((J30+3)&gt;10,1000/(J30+3),1000/10)</f>
        <v>100</v>
      </c>
      <c r="D29" s="79"/>
      <c r="E29" s="167" t="s">
        <v>82</v>
      </c>
      <c r="F29" s="127"/>
      <c r="G29" s="185" t="s">
        <v>154</v>
      </c>
      <c r="H29" s="186"/>
      <c r="I29" s="62" t="s">
        <v>96</v>
      </c>
      <c r="J29" s="87">
        <f>1000/(J27+J28)</f>
        <v>55.00000000000001</v>
      </c>
      <c r="K29" s="167" t="s">
        <v>97</v>
      </c>
      <c r="L29" s="132"/>
      <c r="M29" s="133"/>
      <c r="N29" s="143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5"/>
    </row>
    <row r="30" spans="1:27" ht="16.5" thickBot="1">
      <c r="A30" s="61" t="s">
        <v>159</v>
      </c>
      <c r="B30" s="62" t="s">
        <v>85</v>
      </c>
      <c r="C30" s="88">
        <f>C5*1.414*C25/C18</f>
        <v>3.070067834224599</v>
      </c>
      <c r="D30" s="86"/>
      <c r="E30" s="167" t="s">
        <v>1</v>
      </c>
      <c r="F30" s="127"/>
      <c r="G30" s="185" t="s">
        <v>160</v>
      </c>
      <c r="H30" s="186"/>
      <c r="I30" s="62" t="s">
        <v>94</v>
      </c>
      <c r="J30" s="107">
        <f>J25*C8*3.14*C18*(1.213+C6*1.414/(J25*C22))/(C15/100)/C6/C6/1.89</f>
        <v>1.6308098833343934</v>
      </c>
      <c r="K30" s="167" t="s">
        <v>79</v>
      </c>
      <c r="L30" s="176"/>
      <c r="M30" s="177"/>
      <c r="N30" s="178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80"/>
    </row>
    <row r="31" spans="1:13" ht="17.25" customHeight="1">
      <c r="A31" s="61" t="s">
        <v>161</v>
      </c>
      <c r="B31" s="62" t="s">
        <v>86</v>
      </c>
      <c r="C31" s="88">
        <f>C30*C22</f>
        <v>6.822372964943554</v>
      </c>
      <c r="D31" s="86"/>
      <c r="E31" s="167" t="s">
        <v>1</v>
      </c>
      <c r="F31" s="127"/>
      <c r="G31" s="185" t="s">
        <v>162</v>
      </c>
      <c r="H31" s="186"/>
      <c r="I31" s="62" t="s">
        <v>98</v>
      </c>
      <c r="J31" s="87">
        <f>IF((J30+3)&gt;10,1000/(J30+3),1000/10)</f>
        <v>100</v>
      </c>
      <c r="K31" s="167" t="s">
        <v>97</v>
      </c>
      <c r="L31" s="132"/>
      <c r="M31" s="133"/>
    </row>
    <row r="32" spans="1:13" ht="17.25" customHeight="1">
      <c r="A32" s="110" t="s">
        <v>163</v>
      </c>
      <c r="B32" s="111" t="s">
        <v>87</v>
      </c>
      <c r="C32" s="112">
        <f>0.9*0.5*C19*0.4/C20/C8</f>
        <v>0.39999999999999997</v>
      </c>
      <c r="D32" s="113"/>
      <c r="E32" s="65" t="s">
        <v>10</v>
      </c>
      <c r="F32" s="127"/>
      <c r="G32" s="185" t="s">
        <v>164</v>
      </c>
      <c r="H32" s="186"/>
      <c r="I32" s="62" t="s">
        <v>99</v>
      </c>
      <c r="J32" s="88">
        <f>C5*1.414*J27/C18</f>
        <v>3.0700678342245986</v>
      </c>
      <c r="K32" s="167" t="s">
        <v>1</v>
      </c>
      <c r="L32" s="132"/>
      <c r="M32" s="133"/>
    </row>
    <row r="33" spans="1:13" ht="17.25" customHeight="1">
      <c r="A33" s="91" t="s">
        <v>165</v>
      </c>
      <c r="B33" s="92" t="s">
        <v>88</v>
      </c>
      <c r="C33" s="124">
        <v>5.1</v>
      </c>
      <c r="D33" s="89"/>
      <c r="E33" s="65" t="str">
        <f>IF(C33&lt;5,"太小",IF(C33&gt;10,"太大","KΩ"))</f>
        <v>KΩ</v>
      </c>
      <c r="F33" s="127"/>
      <c r="G33" s="185" t="s">
        <v>161</v>
      </c>
      <c r="H33" s="186"/>
      <c r="I33" s="62" t="s">
        <v>100</v>
      </c>
      <c r="J33" s="88">
        <f>J32*C22</f>
        <v>6.822372964943553</v>
      </c>
      <c r="K33" s="167" t="s">
        <v>1</v>
      </c>
      <c r="L33" s="132"/>
      <c r="M33" s="133"/>
    </row>
    <row r="34" spans="1:13" ht="17.25" customHeight="1" thickBot="1">
      <c r="A34" s="82" t="s">
        <v>166</v>
      </c>
      <c r="B34" s="69" t="s">
        <v>89</v>
      </c>
      <c r="C34" s="114">
        <f>C7*C21*C33/C20/2.5-C33</f>
        <v>34.67999999999999</v>
      </c>
      <c r="D34" s="81"/>
      <c r="E34" s="70" t="str">
        <f>IF(C6*1.414/C19*C21/C34&gt;3,"太小","KΩ")</f>
        <v>KΩ</v>
      </c>
      <c r="F34" s="127"/>
      <c r="G34" s="187" t="s">
        <v>167</v>
      </c>
      <c r="H34" s="188"/>
      <c r="I34" s="69" t="s">
        <v>101</v>
      </c>
      <c r="J34" s="108">
        <f>J32*C18/C16/C19</f>
        <v>0.2829999999999999</v>
      </c>
      <c r="K34" s="70" t="s">
        <v>102</v>
      </c>
      <c r="L34" s="132"/>
      <c r="M34" s="133"/>
    </row>
    <row r="35" spans="1:13" ht="21" customHeight="1" thickBot="1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32"/>
      <c r="M35" s="133"/>
    </row>
    <row r="36" spans="1:13" ht="15.75" customHeight="1">
      <c r="A36" s="189" t="s">
        <v>169</v>
      </c>
      <c r="B36" s="190"/>
      <c r="C36" s="190"/>
      <c r="D36" s="190"/>
      <c r="E36" s="191"/>
      <c r="F36" s="140"/>
      <c r="G36" s="198" t="s">
        <v>168</v>
      </c>
      <c r="H36" s="199"/>
      <c r="I36" s="199"/>
      <c r="J36" s="199"/>
      <c r="K36" s="200"/>
      <c r="L36" s="132"/>
      <c r="M36" s="133"/>
    </row>
    <row r="37" spans="1:13" ht="15.75" customHeight="1">
      <c r="A37" s="192"/>
      <c r="B37" s="193"/>
      <c r="C37" s="193"/>
      <c r="D37" s="193"/>
      <c r="E37" s="194"/>
      <c r="F37" s="140"/>
      <c r="G37" s="201"/>
      <c r="H37" s="202"/>
      <c r="I37" s="202"/>
      <c r="J37" s="202"/>
      <c r="K37" s="203"/>
      <c r="L37" s="132"/>
      <c r="M37" s="133"/>
    </row>
    <row r="38" spans="1:13" ht="15.75" customHeight="1">
      <c r="A38" s="192"/>
      <c r="B38" s="193"/>
      <c r="C38" s="193"/>
      <c r="D38" s="193"/>
      <c r="E38" s="194"/>
      <c r="F38" s="140"/>
      <c r="G38" s="201"/>
      <c r="H38" s="202"/>
      <c r="I38" s="202"/>
      <c r="J38" s="202"/>
      <c r="K38" s="203"/>
      <c r="L38" s="132"/>
      <c r="M38" s="133"/>
    </row>
    <row r="39" spans="1:13" ht="15.75" customHeight="1">
      <c r="A39" s="192"/>
      <c r="B39" s="193"/>
      <c r="C39" s="193"/>
      <c r="D39" s="193"/>
      <c r="E39" s="194"/>
      <c r="F39" s="140"/>
      <c r="G39" s="201"/>
      <c r="H39" s="202"/>
      <c r="I39" s="202"/>
      <c r="J39" s="202"/>
      <c r="K39" s="203"/>
      <c r="L39" s="125"/>
      <c r="M39" s="126"/>
    </row>
    <row r="40" spans="1:13" ht="15.75" customHeight="1">
      <c r="A40" s="192"/>
      <c r="B40" s="193"/>
      <c r="C40" s="193"/>
      <c r="D40" s="193"/>
      <c r="E40" s="194"/>
      <c r="F40" s="140"/>
      <c r="G40" s="201"/>
      <c r="H40" s="202"/>
      <c r="I40" s="202"/>
      <c r="J40" s="202"/>
      <c r="K40" s="203"/>
      <c r="L40" s="125"/>
      <c r="M40" s="126"/>
    </row>
    <row r="41" spans="1:13" ht="15.75" customHeight="1">
      <c r="A41" s="192"/>
      <c r="B41" s="193"/>
      <c r="C41" s="193"/>
      <c r="D41" s="193"/>
      <c r="E41" s="194"/>
      <c r="F41" s="140"/>
      <c r="G41" s="201"/>
      <c r="H41" s="202"/>
      <c r="I41" s="202"/>
      <c r="J41" s="202"/>
      <c r="K41" s="203"/>
      <c r="L41" s="125"/>
      <c r="M41" s="126"/>
    </row>
    <row r="42" spans="1:13" ht="15.75" customHeight="1">
      <c r="A42" s="192"/>
      <c r="B42" s="193"/>
      <c r="C42" s="193"/>
      <c r="D42" s="193"/>
      <c r="E42" s="194"/>
      <c r="F42" s="140"/>
      <c r="G42" s="201"/>
      <c r="H42" s="202"/>
      <c r="I42" s="202"/>
      <c r="J42" s="202"/>
      <c r="K42" s="203"/>
      <c r="L42" s="125"/>
      <c r="M42" s="126"/>
    </row>
    <row r="43" spans="1:13" ht="15" customHeight="1">
      <c r="A43" s="192"/>
      <c r="B43" s="193"/>
      <c r="C43" s="193"/>
      <c r="D43" s="193"/>
      <c r="E43" s="194"/>
      <c r="F43" s="207"/>
      <c r="G43" s="201"/>
      <c r="H43" s="202"/>
      <c r="I43" s="202"/>
      <c r="J43" s="202"/>
      <c r="K43" s="203"/>
      <c r="L43" s="125"/>
      <c r="M43" s="126"/>
    </row>
    <row r="44" spans="1:13" ht="14.25" customHeight="1" thickBot="1">
      <c r="A44" s="195"/>
      <c r="B44" s="196"/>
      <c r="C44" s="196"/>
      <c r="D44" s="196"/>
      <c r="E44" s="197"/>
      <c r="F44" s="207"/>
      <c r="G44" s="204"/>
      <c r="H44" s="205"/>
      <c r="I44" s="205"/>
      <c r="J44" s="205"/>
      <c r="K44" s="206"/>
      <c r="L44" s="125"/>
      <c r="M44" s="126"/>
    </row>
  </sheetData>
  <sheetProtection password="C7E0" sheet="1"/>
  <mergeCells count="21">
    <mergeCell ref="A1:K1"/>
    <mergeCell ref="A2:K2"/>
    <mergeCell ref="A3:G3"/>
    <mergeCell ref="G15:H15"/>
    <mergeCell ref="G16:H16"/>
    <mergeCell ref="G18:H18"/>
    <mergeCell ref="J18:K18"/>
    <mergeCell ref="G24:K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A36:E44"/>
    <mergeCell ref="G36:K44"/>
    <mergeCell ref="F43:F44"/>
  </mergeCells>
  <conditionalFormatting sqref="E9">
    <cfRule type="containsText" priority="28" dxfId="28" operator="containsText" stopIfTrue="1" text="太大">
      <formula>NOT(ISERROR(SEARCH("太大",E9)))</formula>
    </cfRule>
    <cfRule type="containsText" priority="29" dxfId="29" operator="containsText" stopIfTrue="1" text="太小">
      <formula>NOT(ISERROR(SEARCH("太小",E9)))</formula>
    </cfRule>
  </conditionalFormatting>
  <conditionalFormatting sqref="E10">
    <cfRule type="containsText" priority="26" dxfId="28" operator="containsText" stopIfTrue="1" text="太大">
      <formula>NOT(ISERROR(SEARCH("太大",E10)))</formula>
    </cfRule>
    <cfRule type="containsText" priority="27" dxfId="29" operator="containsText" stopIfTrue="1" text="太小">
      <formula>NOT(ISERROR(SEARCH("太小",E10)))</formula>
    </cfRule>
  </conditionalFormatting>
  <conditionalFormatting sqref="E11">
    <cfRule type="containsText" priority="24" dxfId="28" operator="containsText" stopIfTrue="1" text="太大">
      <formula>NOT(ISERROR(SEARCH("太大",E11)))</formula>
    </cfRule>
    <cfRule type="containsText" priority="25" dxfId="29" operator="containsText" stopIfTrue="1" text="太小">
      <formula>NOT(ISERROR(SEARCH("太小",E11)))</formula>
    </cfRule>
  </conditionalFormatting>
  <conditionalFormatting sqref="E15">
    <cfRule type="containsText" priority="22" dxfId="28" operator="containsText" stopIfTrue="1" text="太大">
      <formula>NOT(ISERROR(SEARCH("太大",E15)))</formula>
    </cfRule>
    <cfRule type="containsText" priority="23" dxfId="29" operator="containsText" stopIfTrue="1" text="太小">
      <formula>NOT(ISERROR(SEARCH("太小",E15)))</formula>
    </cfRule>
  </conditionalFormatting>
  <conditionalFormatting sqref="E17">
    <cfRule type="containsText" priority="20" dxfId="28" operator="containsText" stopIfTrue="1" text="太大">
      <formula>NOT(ISERROR(SEARCH("太大",E17)))</formula>
    </cfRule>
    <cfRule type="containsText" priority="21" dxfId="29" operator="containsText" stopIfTrue="1" text="太小">
      <formula>NOT(ISERROR(SEARCH("太小",E17)))</formula>
    </cfRule>
  </conditionalFormatting>
  <conditionalFormatting sqref="E25">
    <cfRule type="containsText" priority="18" dxfId="28" operator="containsText" stopIfTrue="1" text="太大">
      <formula>NOT(ISERROR(SEARCH("太大",E25)))</formula>
    </cfRule>
    <cfRule type="containsText" priority="19" dxfId="29" operator="containsText" stopIfTrue="1" text="太小">
      <formula>NOT(ISERROR(SEARCH("太小",E25)))</formula>
    </cfRule>
  </conditionalFormatting>
  <conditionalFormatting sqref="E32">
    <cfRule type="containsText" priority="16" dxfId="28" operator="containsText" stopIfTrue="1" text="太大">
      <formula>NOT(ISERROR(SEARCH("太大",E32)))</formula>
    </cfRule>
    <cfRule type="containsText" priority="17" dxfId="29" operator="containsText" stopIfTrue="1" text="太小">
      <formula>NOT(ISERROR(SEARCH("太小",E32)))</formula>
    </cfRule>
  </conditionalFormatting>
  <conditionalFormatting sqref="E33">
    <cfRule type="containsText" priority="14" dxfId="28" operator="containsText" stopIfTrue="1" text="太大">
      <formula>NOT(ISERROR(SEARCH("太大",E33)))</formula>
    </cfRule>
    <cfRule type="containsText" priority="15" dxfId="29" operator="containsText" stopIfTrue="1" text="太小">
      <formula>NOT(ISERROR(SEARCH("太小",E33)))</formula>
    </cfRule>
  </conditionalFormatting>
  <conditionalFormatting sqref="E34">
    <cfRule type="containsText" priority="12" dxfId="28" operator="containsText" stopIfTrue="1" text="太大">
      <formula>NOT(ISERROR(SEARCH("太大",E34)))</formula>
    </cfRule>
    <cfRule type="containsText" priority="13" dxfId="29" operator="containsText" stopIfTrue="1" text="太小">
      <formula>NOT(ISERROR(SEARCH("太小",E34)))</formula>
    </cfRule>
  </conditionalFormatting>
  <conditionalFormatting sqref="K28">
    <cfRule type="containsText" priority="10" dxfId="28" operator="containsText" stopIfTrue="1" text="太大">
      <formula>NOT(ISERROR(SEARCH("太大",K28)))</formula>
    </cfRule>
    <cfRule type="containsText" priority="11" dxfId="29" operator="containsText" stopIfTrue="1" text="太小">
      <formula>NOT(ISERROR(SEARCH("太小",K28)))</formula>
    </cfRule>
  </conditionalFormatting>
  <conditionalFormatting sqref="K27">
    <cfRule type="containsText" priority="8" dxfId="28" operator="containsText" stopIfTrue="1" text="太大">
      <formula>NOT(ISERROR(SEARCH("太大",K27)))</formula>
    </cfRule>
    <cfRule type="containsText" priority="9" dxfId="29" operator="containsText" stopIfTrue="1" text="太小">
      <formula>NOT(ISERROR(SEARCH("太小",K27)))</formula>
    </cfRule>
  </conditionalFormatting>
  <conditionalFormatting sqref="K26">
    <cfRule type="containsText" priority="6" dxfId="28" operator="containsText" stopIfTrue="1" text="过压保护">
      <formula>NOT(ISERROR(SEARCH("过压保护",K26)))</formula>
    </cfRule>
    <cfRule type="containsText" priority="7" dxfId="29" operator="containsText" stopIfTrue="1" text="欠压保护">
      <formula>NOT(ISERROR(SEARCH("欠压保护",K26)))</formula>
    </cfRule>
  </conditionalFormatting>
  <conditionalFormatting sqref="K25">
    <cfRule type="containsText" priority="4" dxfId="28" operator="containsText" stopIfTrue="1" text="太大">
      <formula>NOT(ISERROR(SEARCH("太大",K25)))</formula>
    </cfRule>
    <cfRule type="containsText" priority="5" dxfId="29" operator="containsText" stopIfTrue="1" text="太小">
      <formula>NOT(ISERROR(SEARCH("太小",K25)))</formula>
    </cfRule>
  </conditionalFormatting>
  <conditionalFormatting sqref="J17">
    <cfRule type="containsText" priority="3" dxfId="29" operator="containsText" stopIfTrue="1" text="太厚">
      <formula>NOT(ISERROR(SEARCH("太厚",J17)))</formula>
    </cfRule>
  </conditionalFormatting>
  <conditionalFormatting sqref="K17">
    <cfRule type="containsText" priority="1" dxfId="28" operator="containsText" stopIfTrue="1" text="超过槽深">
      <formula>NOT(ISERROR(SEARCH("超过槽深",K17)))</formula>
    </cfRule>
  </conditionalFormatting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="85" zoomScaleNormal="85" zoomScalePageLayoutView="0" workbookViewId="0" topLeftCell="A1">
      <selection activeCell="O17" sqref="O17"/>
    </sheetView>
  </sheetViews>
  <sheetFormatPr defaultColWidth="9.140625" defaultRowHeight="15"/>
  <cols>
    <col min="1" max="16384" width="9.00390625" style="55" customWidth="1"/>
  </cols>
  <sheetData>
    <row r="1" spans="1:12" ht="20.25">
      <c r="A1" s="229" t="s">
        <v>73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34" spans="1:12" ht="20.25">
      <c r="A34" s="229" t="s">
        <v>74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</row>
  </sheetData>
  <sheetProtection password="8FE1" sheet="1"/>
  <mergeCells count="2">
    <mergeCell ref="A1:L1"/>
    <mergeCell ref="A34:L3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41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.8515625" style="1" customWidth="1"/>
    <col min="2" max="16384" width="9.00390625" style="1" customWidth="1"/>
  </cols>
  <sheetData>
    <row r="1" ht="9.75" customHeight="1"/>
    <row r="2" spans="2:3" ht="20.25" customHeight="1">
      <c r="B2" s="8" t="s">
        <v>62</v>
      </c>
      <c r="C2" s="7"/>
    </row>
    <row r="3" spans="3:14" ht="14.25" thickBot="1">
      <c r="C3" s="9"/>
      <c r="D3" s="9"/>
      <c r="E3" s="9"/>
      <c r="F3" s="9"/>
      <c r="G3" s="9"/>
      <c r="H3" s="9"/>
      <c r="J3" s="10"/>
      <c r="K3" s="9"/>
      <c r="L3" s="9"/>
      <c r="M3" s="9"/>
      <c r="N3" s="9"/>
    </row>
    <row r="4" spans="2:14" ht="13.5">
      <c r="B4" s="232" t="s">
        <v>11</v>
      </c>
      <c r="C4" s="234" t="s">
        <v>12</v>
      </c>
      <c r="D4" s="231"/>
      <c r="E4" s="230" t="s">
        <v>12</v>
      </c>
      <c r="F4" s="231"/>
      <c r="G4" s="230" t="s">
        <v>12</v>
      </c>
      <c r="H4" s="231"/>
      <c r="I4" s="230" t="s">
        <v>12</v>
      </c>
      <c r="J4" s="231"/>
      <c r="K4" s="230" t="s">
        <v>12</v>
      </c>
      <c r="L4" s="231"/>
      <c r="M4" s="230" t="s">
        <v>12</v>
      </c>
      <c r="N4" s="231"/>
    </row>
    <row r="5" spans="2:14" ht="13.5">
      <c r="B5" s="233"/>
      <c r="C5" s="11" t="s">
        <v>13</v>
      </c>
      <c r="D5" s="12" t="s">
        <v>14</v>
      </c>
      <c r="E5" s="13" t="s">
        <v>13</v>
      </c>
      <c r="F5" s="12" t="s">
        <v>14</v>
      </c>
      <c r="G5" s="13" t="s">
        <v>13</v>
      </c>
      <c r="H5" s="12" t="s">
        <v>14</v>
      </c>
      <c r="I5" s="13" t="s">
        <v>13</v>
      </c>
      <c r="J5" s="12" t="s">
        <v>14</v>
      </c>
      <c r="K5" s="13" t="s">
        <v>13</v>
      </c>
      <c r="L5" s="12" t="s">
        <v>14</v>
      </c>
      <c r="M5" s="13" t="s">
        <v>13</v>
      </c>
      <c r="N5" s="12" t="s">
        <v>14</v>
      </c>
    </row>
    <row r="6" spans="2:14" ht="13.5">
      <c r="B6" s="14" t="s">
        <v>15</v>
      </c>
      <c r="C6" s="11" t="s">
        <v>16</v>
      </c>
      <c r="D6" s="15">
        <v>17</v>
      </c>
      <c r="E6" s="13" t="s">
        <v>17</v>
      </c>
      <c r="F6" s="15">
        <v>12.5</v>
      </c>
      <c r="G6" s="13"/>
      <c r="H6" s="16"/>
      <c r="I6" s="13"/>
      <c r="J6" s="16"/>
      <c r="K6" s="13"/>
      <c r="L6" s="16"/>
      <c r="M6" s="13"/>
      <c r="N6" s="16"/>
    </row>
    <row r="7" spans="2:14" ht="13.5">
      <c r="B7" s="14" t="s">
        <v>18</v>
      </c>
      <c r="C7" s="11" t="s">
        <v>16</v>
      </c>
      <c r="D7" s="15">
        <v>17</v>
      </c>
      <c r="E7" s="13" t="s">
        <v>19</v>
      </c>
      <c r="F7" s="15">
        <v>15</v>
      </c>
      <c r="G7" s="13"/>
      <c r="H7" s="16"/>
      <c r="I7" s="13"/>
      <c r="J7" s="16"/>
      <c r="K7" s="13"/>
      <c r="L7" s="16"/>
      <c r="M7" s="13"/>
      <c r="N7" s="16"/>
    </row>
    <row r="8" spans="2:14" ht="13.5">
      <c r="B8" s="14" t="s">
        <v>20</v>
      </c>
      <c r="C8" s="11" t="s">
        <v>21</v>
      </c>
      <c r="D8" s="15">
        <v>19.2</v>
      </c>
      <c r="E8" s="13" t="s">
        <v>22</v>
      </c>
      <c r="F8" s="16">
        <v>22.8</v>
      </c>
      <c r="G8" s="13" t="s">
        <v>23</v>
      </c>
      <c r="H8" s="15">
        <v>37</v>
      </c>
      <c r="I8" s="13"/>
      <c r="J8" s="16"/>
      <c r="K8" s="13"/>
      <c r="L8" s="16"/>
      <c r="M8" s="13"/>
      <c r="N8" s="16"/>
    </row>
    <row r="9" spans="2:14" ht="13.5">
      <c r="B9" s="14" t="s">
        <v>24</v>
      </c>
      <c r="C9" s="11" t="s">
        <v>21</v>
      </c>
      <c r="D9" s="15">
        <v>19.2</v>
      </c>
      <c r="E9" s="13" t="s">
        <v>22</v>
      </c>
      <c r="F9" s="16">
        <v>22.8</v>
      </c>
      <c r="G9" s="13" t="s">
        <v>23</v>
      </c>
      <c r="H9" s="15">
        <v>37</v>
      </c>
      <c r="I9" s="13"/>
      <c r="J9" s="16"/>
      <c r="K9" s="13"/>
      <c r="L9" s="16"/>
      <c r="M9" s="13"/>
      <c r="N9" s="16"/>
    </row>
    <row r="10" spans="2:14" ht="13.5">
      <c r="B10" s="14" t="s">
        <v>25</v>
      </c>
      <c r="C10" s="17" t="s">
        <v>26</v>
      </c>
      <c r="D10" s="15">
        <v>23</v>
      </c>
      <c r="E10" s="13" t="s">
        <v>27</v>
      </c>
      <c r="F10" s="16">
        <v>22.7</v>
      </c>
      <c r="G10" s="13" t="s">
        <v>23</v>
      </c>
      <c r="H10" s="15">
        <v>37</v>
      </c>
      <c r="I10" s="13"/>
      <c r="J10" s="16"/>
      <c r="K10" s="13"/>
      <c r="L10" s="16"/>
      <c r="M10" s="13"/>
      <c r="N10" s="16"/>
    </row>
    <row r="11" spans="2:14" ht="13.5">
      <c r="B11" s="14" t="s">
        <v>28</v>
      </c>
      <c r="C11" s="17" t="s">
        <v>26</v>
      </c>
      <c r="D11" s="15">
        <v>23</v>
      </c>
      <c r="E11" s="13" t="s">
        <v>27</v>
      </c>
      <c r="F11" s="16">
        <v>22.7</v>
      </c>
      <c r="G11" s="13" t="s">
        <v>29</v>
      </c>
      <c r="H11" s="15">
        <v>63</v>
      </c>
      <c r="I11" s="13"/>
      <c r="J11" s="16"/>
      <c r="K11" s="13"/>
      <c r="L11" s="16"/>
      <c r="M11" s="13"/>
      <c r="N11" s="16"/>
    </row>
    <row r="12" spans="2:14" ht="13.5">
      <c r="B12" s="14" t="s">
        <v>30</v>
      </c>
      <c r="C12" s="17" t="s">
        <v>26</v>
      </c>
      <c r="D12" s="15">
        <v>23</v>
      </c>
      <c r="E12" s="13" t="s">
        <v>27</v>
      </c>
      <c r="F12" s="16">
        <v>22.7</v>
      </c>
      <c r="G12" s="13" t="s">
        <v>29</v>
      </c>
      <c r="H12" s="15">
        <v>63</v>
      </c>
      <c r="I12" s="13"/>
      <c r="J12" s="16"/>
      <c r="K12" s="13"/>
      <c r="L12" s="16"/>
      <c r="M12" s="13"/>
      <c r="N12" s="16"/>
    </row>
    <row r="13" spans="2:14" ht="13.5">
      <c r="B13" s="14" t="s">
        <v>31</v>
      </c>
      <c r="C13" s="17" t="s">
        <v>32</v>
      </c>
      <c r="D13" s="15">
        <v>31</v>
      </c>
      <c r="E13" s="13" t="s">
        <v>33</v>
      </c>
      <c r="F13" s="15">
        <v>31</v>
      </c>
      <c r="G13" s="18" t="s">
        <v>68</v>
      </c>
      <c r="H13" s="15">
        <v>41.3</v>
      </c>
      <c r="I13" s="13" t="s">
        <v>35</v>
      </c>
      <c r="J13" s="16">
        <v>62</v>
      </c>
      <c r="K13" s="13" t="s">
        <v>36</v>
      </c>
      <c r="L13" s="16">
        <v>96.6</v>
      </c>
      <c r="M13" s="13"/>
      <c r="N13" s="16"/>
    </row>
    <row r="14" spans="2:14" ht="13.5">
      <c r="B14" s="14" t="s">
        <v>37</v>
      </c>
      <c r="C14" s="17" t="s">
        <v>32</v>
      </c>
      <c r="D14" s="15">
        <v>31</v>
      </c>
      <c r="E14" s="13" t="s">
        <v>38</v>
      </c>
      <c r="F14" s="15">
        <v>31</v>
      </c>
      <c r="G14" s="13" t="s">
        <v>34</v>
      </c>
      <c r="H14" s="15">
        <v>41.3</v>
      </c>
      <c r="I14" s="13" t="s">
        <v>35</v>
      </c>
      <c r="J14" s="16">
        <v>62</v>
      </c>
      <c r="K14" s="13" t="s">
        <v>36</v>
      </c>
      <c r="L14" s="16">
        <v>96.6</v>
      </c>
      <c r="M14" s="13"/>
      <c r="N14" s="16"/>
    </row>
    <row r="15" spans="2:14" ht="13.5">
      <c r="B15" s="14" t="s">
        <v>39</v>
      </c>
      <c r="C15" s="11" t="s">
        <v>40</v>
      </c>
      <c r="D15" s="15">
        <v>41</v>
      </c>
      <c r="E15" s="13" t="s">
        <v>41</v>
      </c>
      <c r="F15" s="16">
        <v>46.4</v>
      </c>
      <c r="G15" s="13" t="s">
        <v>34</v>
      </c>
      <c r="H15" s="15">
        <v>41.3</v>
      </c>
      <c r="I15" s="13" t="s">
        <v>35</v>
      </c>
      <c r="J15" s="16">
        <v>62</v>
      </c>
      <c r="K15" s="13" t="s">
        <v>42</v>
      </c>
      <c r="L15" s="16">
        <v>52.8</v>
      </c>
      <c r="M15" s="13" t="s">
        <v>43</v>
      </c>
      <c r="N15" s="16">
        <v>65</v>
      </c>
    </row>
    <row r="16" spans="2:14" ht="13.5">
      <c r="B16" s="14" t="s">
        <v>44</v>
      </c>
      <c r="C16" s="11" t="s">
        <v>45</v>
      </c>
      <c r="D16" s="15">
        <v>42</v>
      </c>
      <c r="E16" s="13" t="s">
        <v>41</v>
      </c>
      <c r="F16" s="16">
        <v>46.4</v>
      </c>
      <c r="G16" s="13" t="s">
        <v>46</v>
      </c>
      <c r="H16" s="15">
        <v>56.3</v>
      </c>
      <c r="I16" s="13" t="s">
        <v>47</v>
      </c>
      <c r="J16" s="16">
        <v>62</v>
      </c>
      <c r="K16" s="13" t="s">
        <v>42</v>
      </c>
      <c r="L16" s="16">
        <v>52.8</v>
      </c>
      <c r="M16" s="13" t="s">
        <v>43</v>
      </c>
      <c r="N16" s="16">
        <v>65</v>
      </c>
    </row>
    <row r="17" spans="2:14" ht="13.5">
      <c r="B17" s="14" t="s">
        <v>48</v>
      </c>
      <c r="C17" s="11" t="s">
        <v>45</v>
      </c>
      <c r="D17" s="15">
        <v>42</v>
      </c>
      <c r="E17" s="13" t="s">
        <v>41</v>
      </c>
      <c r="F17" s="16">
        <v>46.4</v>
      </c>
      <c r="G17" s="13" t="s">
        <v>46</v>
      </c>
      <c r="H17" s="15">
        <v>56.3</v>
      </c>
      <c r="I17" s="13" t="s">
        <v>47</v>
      </c>
      <c r="J17" s="16">
        <v>62</v>
      </c>
      <c r="K17" s="13" t="s">
        <v>49</v>
      </c>
      <c r="L17" s="16">
        <v>52.8</v>
      </c>
      <c r="M17" s="13" t="s">
        <v>43</v>
      </c>
      <c r="N17" s="16">
        <v>65</v>
      </c>
    </row>
    <row r="18" spans="2:14" ht="13.5">
      <c r="B18" s="14" t="s">
        <v>50</v>
      </c>
      <c r="C18" s="17"/>
      <c r="D18" s="15"/>
      <c r="E18" s="18"/>
      <c r="F18" s="16"/>
      <c r="G18" s="13" t="s">
        <v>46</v>
      </c>
      <c r="H18" s="15">
        <v>56.3</v>
      </c>
      <c r="I18" s="13" t="s">
        <v>51</v>
      </c>
      <c r="J18" s="16">
        <v>119</v>
      </c>
      <c r="K18" s="13" t="s">
        <v>59</v>
      </c>
      <c r="L18" s="16">
        <v>67.6</v>
      </c>
      <c r="M18" s="13" t="s">
        <v>59</v>
      </c>
      <c r="N18" s="16">
        <v>67.6</v>
      </c>
    </row>
    <row r="19" spans="2:14" ht="14.25" thickBot="1">
      <c r="B19" s="19" t="s">
        <v>52</v>
      </c>
      <c r="C19" s="20"/>
      <c r="D19" s="21"/>
      <c r="E19" s="22"/>
      <c r="F19" s="23"/>
      <c r="G19" s="24" t="s">
        <v>46</v>
      </c>
      <c r="H19" s="21">
        <v>56.3</v>
      </c>
      <c r="I19" s="24" t="s">
        <v>51</v>
      </c>
      <c r="J19" s="23">
        <v>119</v>
      </c>
      <c r="K19" s="22" t="s">
        <v>61</v>
      </c>
      <c r="L19" s="21">
        <v>104</v>
      </c>
      <c r="M19" s="22" t="s">
        <v>61</v>
      </c>
      <c r="N19" s="21">
        <v>104</v>
      </c>
    </row>
    <row r="21" ht="14.25" thickBot="1"/>
    <row r="22" spans="2:5" ht="13.5">
      <c r="B22" s="34" t="s">
        <v>13</v>
      </c>
      <c r="C22" s="41" t="s">
        <v>14</v>
      </c>
      <c r="D22" s="42" t="s">
        <v>53</v>
      </c>
      <c r="E22" s="43" t="s">
        <v>54</v>
      </c>
    </row>
    <row r="23" spans="2:5" ht="14.25" customHeight="1">
      <c r="B23" s="13" t="s">
        <v>17</v>
      </c>
      <c r="C23" s="25">
        <v>12.5</v>
      </c>
      <c r="D23" s="25">
        <v>6.8</v>
      </c>
      <c r="E23" s="44">
        <v>1.65</v>
      </c>
    </row>
    <row r="24" spans="2:5" ht="12.75" customHeight="1" thickBot="1">
      <c r="B24" s="13" t="s">
        <v>27</v>
      </c>
      <c r="C24" s="25">
        <v>22.7</v>
      </c>
      <c r="D24" s="25">
        <v>12.8</v>
      </c>
      <c r="E24" s="44">
        <v>2.5</v>
      </c>
    </row>
    <row r="25" spans="2:14" ht="13.5">
      <c r="B25" s="13" t="s">
        <v>21</v>
      </c>
      <c r="C25" s="25">
        <v>19.2</v>
      </c>
      <c r="D25" s="25">
        <v>8.4</v>
      </c>
      <c r="E25" s="44">
        <v>2.8</v>
      </c>
      <c r="H25" s="26"/>
      <c r="I25" s="2"/>
      <c r="J25" s="2"/>
      <c r="K25" s="2"/>
      <c r="L25" s="2"/>
      <c r="M25" s="2"/>
      <c r="N25" s="3"/>
    </row>
    <row r="26" spans="2:14" ht="15">
      <c r="B26" s="18" t="s">
        <v>26</v>
      </c>
      <c r="C26" s="25">
        <v>23</v>
      </c>
      <c r="D26" s="25">
        <v>9</v>
      </c>
      <c r="E26" s="45">
        <v>3.7</v>
      </c>
      <c r="H26" s="28" t="s">
        <v>55</v>
      </c>
      <c r="I26" s="29"/>
      <c r="J26" s="29"/>
      <c r="K26" s="29"/>
      <c r="L26" s="29"/>
      <c r="M26" s="29"/>
      <c r="N26" s="5"/>
    </row>
    <row r="27" spans="2:14" ht="15">
      <c r="B27" s="13" t="s">
        <v>40</v>
      </c>
      <c r="C27" s="25">
        <v>41</v>
      </c>
      <c r="D27" s="27">
        <v>8.45</v>
      </c>
      <c r="E27" s="46" t="s">
        <v>56</v>
      </c>
      <c r="H27" s="28"/>
      <c r="I27" s="29"/>
      <c r="J27" s="29"/>
      <c r="K27" s="29"/>
      <c r="L27" s="29"/>
      <c r="M27" s="29"/>
      <c r="N27" s="5"/>
    </row>
    <row r="28" spans="2:14" ht="15">
      <c r="B28" s="13" t="s">
        <v>45</v>
      </c>
      <c r="C28" s="25">
        <v>42</v>
      </c>
      <c r="D28" s="27">
        <v>9.8</v>
      </c>
      <c r="E28" s="45">
        <v>4.5</v>
      </c>
      <c r="H28" s="28" t="s">
        <v>57</v>
      </c>
      <c r="I28" s="29"/>
      <c r="J28" s="29"/>
      <c r="K28" s="29"/>
      <c r="L28" s="29"/>
      <c r="M28" s="29"/>
      <c r="N28" s="5"/>
    </row>
    <row r="29" spans="2:14" ht="15">
      <c r="B29" s="13" t="s">
        <v>34</v>
      </c>
      <c r="C29" s="25">
        <v>41.3</v>
      </c>
      <c r="D29" s="27">
        <v>16</v>
      </c>
      <c r="E29" s="45">
        <v>2.1</v>
      </c>
      <c r="H29" s="28"/>
      <c r="I29" s="29"/>
      <c r="J29" s="29"/>
      <c r="K29" s="29"/>
      <c r="L29" s="29"/>
      <c r="M29" s="29"/>
      <c r="N29" s="5"/>
    </row>
    <row r="30" spans="2:14" ht="15">
      <c r="B30" s="13" t="s">
        <v>46</v>
      </c>
      <c r="C30" s="25">
        <v>56.3</v>
      </c>
      <c r="D30" s="27">
        <v>17.2</v>
      </c>
      <c r="E30" s="45">
        <v>3.3</v>
      </c>
      <c r="H30" s="28" t="s">
        <v>60</v>
      </c>
      <c r="I30" s="4"/>
      <c r="J30" s="4"/>
      <c r="K30" s="4"/>
      <c r="L30" s="4"/>
      <c r="M30" s="4"/>
      <c r="N30" s="5"/>
    </row>
    <row r="31" spans="2:14" ht="13.5">
      <c r="B31" s="13" t="s">
        <v>23</v>
      </c>
      <c r="C31" s="25">
        <v>37</v>
      </c>
      <c r="D31" s="27">
        <v>2.4</v>
      </c>
      <c r="E31" s="45">
        <v>6.4</v>
      </c>
      <c r="H31" s="6"/>
      <c r="I31" s="4"/>
      <c r="J31" s="4"/>
      <c r="K31" s="4"/>
      <c r="L31" s="4"/>
      <c r="M31" s="4"/>
      <c r="N31" s="5"/>
    </row>
    <row r="32" spans="2:14" ht="15">
      <c r="B32" s="13" t="s">
        <v>29</v>
      </c>
      <c r="C32" s="25">
        <v>63</v>
      </c>
      <c r="D32" s="27">
        <v>3.5</v>
      </c>
      <c r="E32" s="45">
        <v>9.15</v>
      </c>
      <c r="H32" s="28" t="s">
        <v>69</v>
      </c>
      <c r="I32" s="4"/>
      <c r="J32" s="4"/>
      <c r="K32" s="4"/>
      <c r="L32" s="4"/>
      <c r="M32" s="4"/>
      <c r="N32" s="5"/>
    </row>
    <row r="33" spans="2:14" ht="14.25" thickBot="1">
      <c r="B33" s="13" t="s">
        <v>36</v>
      </c>
      <c r="C33" s="25">
        <v>96.6</v>
      </c>
      <c r="D33" s="27">
        <v>4.2</v>
      </c>
      <c r="E33" s="45">
        <v>10.75</v>
      </c>
      <c r="H33" s="30"/>
      <c r="I33" s="31"/>
      <c r="J33" s="31"/>
      <c r="K33" s="31"/>
      <c r="L33" s="31"/>
      <c r="M33" s="31"/>
      <c r="N33" s="32"/>
    </row>
    <row r="34" spans="2:5" ht="13.5">
      <c r="B34" s="13" t="s">
        <v>35</v>
      </c>
      <c r="C34" s="25">
        <v>62</v>
      </c>
      <c r="D34" s="27">
        <v>3.1</v>
      </c>
      <c r="E34" s="45">
        <v>8</v>
      </c>
    </row>
    <row r="35" spans="2:5" ht="14.25" thickBot="1">
      <c r="B35" s="13" t="s">
        <v>47</v>
      </c>
      <c r="C35" s="25">
        <v>62</v>
      </c>
      <c r="D35" s="27">
        <v>3.1</v>
      </c>
      <c r="E35" s="45">
        <v>12</v>
      </c>
    </row>
    <row r="36" spans="2:14" ht="13.5">
      <c r="B36" s="13" t="s">
        <v>51</v>
      </c>
      <c r="C36" s="27">
        <v>119</v>
      </c>
      <c r="D36" s="27">
        <v>3.6</v>
      </c>
      <c r="E36" s="45">
        <v>9.2</v>
      </c>
      <c r="H36" s="35"/>
      <c r="I36" s="36"/>
      <c r="J36" s="36"/>
      <c r="K36" s="36"/>
      <c r="L36" s="36"/>
      <c r="M36" s="36"/>
      <c r="N36" s="37"/>
    </row>
    <row r="37" spans="2:14" ht="14.25">
      <c r="B37" s="13" t="s">
        <v>58</v>
      </c>
      <c r="C37" s="27">
        <v>118</v>
      </c>
      <c r="D37" s="27">
        <v>3.6</v>
      </c>
      <c r="E37" s="45">
        <v>13.9</v>
      </c>
      <c r="H37" s="51" t="s">
        <v>71</v>
      </c>
      <c r="I37" s="52"/>
      <c r="J37" s="52"/>
      <c r="K37" s="52"/>
      <c r="L37" s="52"/>
      <c r="M37" s="52"/>
      <c r="N37" s="53"/>
    </row>
    <row r="38" spans="2:14" ht="14.25">
      <c r="B38" s="13" t="s">
        <v>42</v>
      </c>
      <c r="C38" s="25">
        <v>52.8</v>
      </c>
      <c r="D38" s="27">
        <v>4.3</v>
      </c>
      <c r="E38" s="45">
        <v>4</v>
      </c>
      <c r="H38" s="51" t="s">
        <v>72</v>
      </c>
      <c r="I38" s="52"/>
      <c r="J38" s="52"/>
      <c r="K38" s="52"/>
      <c r="L38" s="52"/>
      <c r="M38" s="52"/>
      <c r="N38" s="53"/>
    </row>
    <row r="39" spans="2:14" ht="14.25">
      <c r="B39" s="13" t="s">
        <v>43</v>
      </c>
      <c r="C39" s="25">
        <v>65</v>
      </c>
      <c r="D39" s="27">
        <v>5.2</v>
      </c>
      <c r="E39" s="45">
        <v>2.2</v>
      </c>
      <c r="H39" s="51" t="s">
        <v>70</v>
      </c>
      <c r="I39" s="52"/>
      <c r="J39" s="52"/>
      <c r="K39" s="52"/>
      <c r="L39" s="52"/>
      <c r="M39" s="52"/>
      <c r="N39" s="53"/>
    </row>
    <row r="40" spans="2:14" ht="14.25" thickBot="1">
      <c r="B40" s="13" t="s">
        <v>59</v>
      </c>
      <c r="C40" s="25">
        <v>67.6</v>
      </c>
      <c r="D40" s="33">
        <v>3.4</v>
      </c>
      <c r="E40" s="47">
        <v>3.7</v>
      </c>
      <c r="H40" s="38"/>
      <c r="I40" s="39"/>
      <c r="J40" s="39"/>
      <c r="K40" s="39"/>
      <c r="L40" s="39"/>
      <c r="M40" s="39"/>
      <c r="N40" s="40"/>
    </row>
    <row r="41" spans="2:5" ht="14.25" thickBot="1">
      <c r="B41" s="22" t="s">
        <v>61</v>
      </c>
      <c r="C41" s="48">
        <v>104</v>
      </c>
      <c r="D41" s="49">
        <v>3.4</v>
      </c>
      <c r="E41" s="50">
        <v>3.7</v>
      </c>
    </row>
  </sheetData>
  <sheetProtection password="EFE0" sheet="1" objects="1" scenarios="1"/>
  <mergeCells count="7">
    <mergeCell ref="M4:N4"/>
    <mergeCell ref="B4:B5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MAXIC.LTD.CO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Dell_12</dc:creator>
  <cp:keywords/>
  <dc:description/>
  <cp:lastModifiedBy>Andy</cp:lastModifiedBy>
  <cp:lastPrinted>2015-09-09T04:18:18Z</cp:lastPrinted>
  <dcterms:created xsi:type="dcterms:W3CDTF">2011-09-06T10:25:15Z</dcterms:created>
  <dcterms:modified xsi:type="dcterms:W3CDTF">2016-02-02T05:57:25Z</dcterms:modified>
  <cp:category/>
  <cp:version/>
  <cp:contentType/>
  <cp:contentStatus/>
</cp:coreProperties>
</file>