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90" windowHeight="7335" activeTab="0"/>
  </bookViews>
  <sheets>
    <sheet name="设计程序" sheetId="1" r:id="rId1"/>
    <sheet name="常用变压器磁芯" sheetId="2" r:id="rId2"/>
    <sheet name="漆包线常用规格" sheetId="3" r:id="rId3"/>
  </sheets>
  <definedNames>
    <definedName name="_xlnm.Print_Area" localSheetId="0">'设计程序'!$A$1:$G$59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30" authorId="0">
      <text>
        <r>
          <rPr>
            <b/>
            <sz val="9"/>
            <rFont val="宋体"/>
            <family val="0"/>
          </rPr>
          <t>请输入变压器的Ae值，注意单位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宋体"/>
            <family val="0"/>
          </rPr>
          <t>作者:
高电压（220V）输入，1W对应1uF。低（全）电压（110V）输入，1W对应2uF。如果采用填谷电路，</t>
        </r>
        <r>
          <rPr>
            <b/>
            <sz val="9"/>
            <rFont val="宋体"/>
            <family val="0"/>
          </rPr>
          <t xml:space="preserve"> 该值为两个填谷电容的容量和。</t>
        </r>
      </text>
    </comment>
    <comment ref="F13" authorId="0">
      <text>
        <r>
          <rPr>
            <b/>
            <sz val="9"/>
            <rFont val="宋体"/>
            <family val="0"/>
          </rPr>
          <t>作者:
有填谷回路Cppfc=0.5
无填谷回路Cppfc=1</t>
        </r>
      </text>
    </comment>
    <comment ref="B23" authorId="0">
      <text>
        <r>
          <rPr>
            <b/>
            <sz val="8"/>
            <rFont val="Tahoma"/>
            <family val="2"/>
          </rPr>
          <t>Author:</t>
        </r>
        <r>
          <rPr>
            <b/>
            <sz val="8"/>
            <rFont val="宋体"/>
            <family val="0"/>
          </rPr>
          <t>如果该值无显示，就说明占空比太大了，必须要增大输入电解电容。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如果无法显示数值，则说明绕不下，需要再设计。</t>
        </r>
      </text>
    </comment>
  </commentList>
</comments>
</file>

<file path=xl/sharedStrings.xml><?xml version="1.0" encoding="utf-8"?>
<sst xmlns="http://schemas.openxmlformats.org/spreadsheetml/2006/main" count="398" uniqueCount="204">
  <si>
    <t>Design Spec.</t>
  </si>
  <si>
    <t>最大输入电压_Vinmax=</t>
  </si>
  <si>
    <t>最小输入电压_Vinmin=</t>
  </si>
  <si>
    <t>LED单颗平均电流_Iled=</t>
  </si>
  <si>
    <t>LED并联数量_Qpled=</t>
  </si>
  <si>
    <t>电源输出电流_Iout=</t>
  </si>
  <si>
    <t>Vdc</t>
  </si>
  <si>
    <t>Vac</t>
  </si>
  <si>
    <t>Hz</t>
  </si>
  <si>
    <t>mA</t>
  </si>
  <si>
    <t>Khz</t>
  </si>
  <si>
    <t>电源输出功率_Pout=</t>
  </si>
  <si>
    <t>Walt</t>
  </si>
  <si>
    <t>mH</t>
  </si>
  <si>
    <t>Pcs</t>
  </si>
  <si>
    <t>c㎡</t>
  </si>
  <si>
    <t>Ts</t>
  </si>
  <si>
    <t>mm</t>
  </si>
  <si>
    <t>Start-Up Resistor 启动电阻</t>
  </si>
  <si>
    <t>Current Sense Resistor 采样电阻</t>
  </si>
  <si>
    <t>电流采样电阻_Rcs=</t>
  </si>
  <si>
    <t>Ω</t>
  </si>
  <si>
    <t>由于MOSFET关断延时问题，实际阻值需跟据输出电流调试。</t>
  </si>
  <si>
    <t>Walt</t>
  </si>
  <si>
    <t>启动电阻_Rcs=</t>
  </si>
  <si>
    <t>MΩ</t>
  </si>
  <si>
    <t>实际选用启动电阻_Rcs=</t>
  </si>
  <si>
    <t>采样电阻功耗_Prcs=</t>
  </si>
  <si>
    <t>启动电阻功耗_Prcs=</t>
  </si>
  <si>
    <t>由于耐压问题，实际选用2颗1MΩ_1206电阻串联。</t>
  </si>
  <si>
    <t>uF</t>
  </si>
  <si>
    <t>0.5/1</t>
  </si>
  <si>
    <t>系统工作最大占空比_Dmax=</t>
  </si>
  <si>
    <t>设计的系统效率@Vinmin_Eff=</t>
  </si>
  <si>
    <r>
      <t>填入，系统将自动算出相关的元件参数(</t>
    </r>
    <r>
      <rPr>
        <sz val="11"/>
        <color indexed="12"/>
        <rFont val="宋体"/>
        <family val="0"/>
      </rPr>
      <t xml:space="preserve"> 蓝色字体</t>
    </r>
    <r>
      <rPr>
        <sz val="11"/>
        <color indexed="8"/>
        <rFont val="宋体"/>
        <family val="0"/>
      </rPr>
      <t>）和系统工作参</t>
    </r>
    <r>
      <rPr>
        <sz val="11"/>
        <rFont val="宋体"/>
        <family val="0"/>
      </rPr>
      <t>数（</t>
    </r>
    <r>
      <rPr>
        <sz val="11"/>
        <color indexed="14"/>
        <rFont val="宋体"/>
        <family val="0"/>
      </rPr>
      <t>粉红色字体</t>
    </r>
    <r>
      <rPr>
        <sz val="11"/>
        <rFont val="宋体"/>
        <family val="0"/>
      </rPr>
      <t>）。</t>
    </r>
  </si>
  <si>
    <t>T</t>
  </si>
  <si>
    <t>最低输入电压频率_Vinmin_Fin=</t>
  </si>
  <si>
    <t>电源输入功率_Pin=</t>
  </si>
  <si>
    <t>输入电解电容_CE=</t>
  </si>
  <si>
    <r>
      <t>是否带填谷电路_C</t>
    </r>
    <r>
      <rPr>
        <sz val="8"/>
        <color indexed="8"/>
        <rFont val="宋体"/>
        <family val="0"/>
      </rPr>
      <t>PPFC</t>
    </r>
    <r>
      <rPr>
        <sz val="12"/>
        <color indexed="8"/>
        <rFont val="宋体"/>
        <family val="0"/>
      </rPr>
      <t>=</t>
    </r>
  </si>
  <si>
    <t>最小母线电压_Vbulkmin=</t>
  </si>
  <si>
    <t>Vdc</t>
  </si>
  <si>
    <t>最大母线电压_Vbulkmax=</t>
  </si>
  <si>
    <t>%</t>
  </si>
  <si>
    <t>mA</t>
  </si>
  <si>
    <t>mA</t>
  </si>
  <si>
    <t>铜线的电流密度</t>
  </si>
  <si>
    <t>A/mm2</t>
  </si>
  <si>
    <t>系统工作最低频率 Fmin=</t>
  </si>
  <si>
    <t>LED单颗最小电压_Vledmin=</t>
  </si>
  <si>
    <t>LED单颗最大电压_Vledmax=</t>
  </si>
  <si>
    <t>LED串联最小数量_Qsledmin=</t>
  </si>
  <si>
    <t>LED串联最大数量_Qsledmax=</t>
  </si>
  <si>
    <t>电源输出最小电压_Voutmin=</t>
  </si>
  <si>
    <t>电源输出最大电压_Voutmax=</t>
  </si>
  <si>
    <t>线路元件参数计算</t>
  </si>
  <si>
    <t xml:space="preserve">LED Load Spec. </t>
  </si>
  <si>
    <t>二极管反向耐压_Vdiode=</t>
  </si>
  <si>
    <t>MOS管最大反向耐压_Vmos=</t>
  </si>
  <si>
    <r>
      <t>MOS</t>
    </r>
    <r>
      <rPr>
        <sz val="11"/>
        <color indexed="8"/>
        <rFont val="宋体"/>
        <family val="0"/>
      </rPr>
      <t>峰值电流_I</t>
    </r>
    <r>
      <rPr>
        <sz val="11"/>
        <color indexed="8"/>
        <rFont val="宋体"/>
        <family val="0"/>
      </rPr>
      <t>m</t>
    </r>
    <r>
      <rPr>
        <sz val="11"/>
        <color indexed="8"/>
        <rFont val="宋体"/>
        <family val="0"/>
      </rPr>
      <t>pk=</t>
    </r>
  </si>
  <si>
    <t>二极管峰值电流_Idpk=</t>
  </si>
  <si>
    <t>二极管电流有效值_Isrms=</t>
  </si>
  <si>
    <r>
      <t>MOS</t>
    </r>
    <r>
      <rPr>
        <sz val="11"/>
        <color indexed="8"/>
        <rFont val="宋体"/>
        <family val="0"/>
      </rPr>
      <t>电流有效值_Iprms</t>
    </r>
    <r>
      <rPr>
        <sz val="11"/>
        <color indexed="8"/>
        <rFont val="宋体"/>
        <family val="0"/>
      </rPr>
      <t>_max</t>
    </r>
    <r>
      <rPr>
        <sz val="11"/>
        <color indexed="8"/>
        <rFont val="宋体"/>
        <family val="0"/>
      </rPr>
      <t>=</t>
    </r>
  </si>
  <si>
    <t>功率电感设计</t>
  </si>
  <si>
    <t>磁芯工作的最大磁通 Bmax=</t>
  </si>
  <si>
    <t>功率电感量_L=</t>
  </si>
  <si>
    <t>功率电感并联的个数_NL=</t>
  </si>
  <si>
    <t>个</t>
  </si>
  <si>
    <t>选用磁芯的型号_Ttype=</t>
  </si>
  <si>
    <t>选用的磁芯截面积_Ae=</t>
  </si>
  <si>
    <t>绕组线径_Df=</t>
  </si>
  <si>
    <t>电感匝数（参考）_Nf=</t>
  </si>
  <si>
    <t>电感气隙长度_Nf=</t>
  </si>
  <si>
    <t>变压器绕制工艺</t>
  </si>
  <si>
    <t>骨架窗口槽宽</t>
  </si>
  <si>
    <t>mm</t>
  </si>
  <si>
    <t>骨架窗口槽深</t>
  </si>
  <si>
    <t>漆包线外径</t>
  </si>
  <si>
    <t>估算层数</t>
  </si>
  <si>
    <t>估算厚度</t>
  </si>
  <si>
    <t>胶带等物质的总厚度</t>
  </si>
  <si>
    <t>绕制后总厚度</t>
  </si>
  <si>
    <t>绕组漆包线外径</t>
  </si>
  <si>
    <t>常用型号磁芯选择与Ae值。    （不同厂家生产的磁芯，Ae值有所不同，下面的数据仅供参考）</t>
  </si>
  <si>
    <t>磁芯</t>
  </si>
  <si>
    <t>型号</t>
  </si>
  <si>
    <r>
      <t>Ae(mm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)</t>
    </r>
  </si>
  <si>
    <t>EE13</t>
  </si>
  <si>
    <t>17.0</t>
  </si>
  <si>
    <t>EPC13</t>
  </si>
  <si>
    <t>12.5</t>
  </si>
  <si>
    <t>EFD15</t>
  </si>
  <si>
    <t>15.0</t>
  </si>
  <si>
    <t>EE16</t>
  </si>
  <si>
    <t>19.2</t>
  </si>
  <si>
    <t>EPC17</t>
  </si>
  <si>
    <t>22.8</t>
  </si>
  <si>
    <t>RM6</t>
  </si>
  <si>
    <t>37.0</t>
  </si>
  <si>
    <t>EE19</t>
  </si>
  <si>
    <t>23.0</t>
  </si>
  <si>
    <t>EPC19</t>
  </si>
  <si>
    <t>22.7</t>
  </si>
  <si>
    <t>RM8</t>
  </si>
  <si>
    <t>63.0</t>
  </si>
  <si>
    <t>EE20</t>
  </si>
  <si>
    <t>31.0</t>
  </si>
  <si>
    <t>EFD20</t>
  </si>
  <si>
    <t>ETD19</t>
  </si>
  <si>
    <t>41.3</t>
  </si>
  <si>
    <t>PQ2016</t>
  </si>
  <si>
    <t>62</t>
  </si>
  <si>
    <t>RM10</t>
  </si>
  <si>
    <t>96.6</t>
  </si>
  <si>
    <t>EFD21</t>
  </si>
  <si>
    <t>EE22</t>
  </si>
  <si>
    <t>41.0</t>
  </si>
  <si>
    <t>EPC25</t>
  </si>
  <si>
    <t>46.4</t>
  </si>
  <si>
    <t>ER2509</t>
  </si>
  <si>
    <t>52.8</t>
  </si>
  <si>
    <t>EDR2602</t>
  </si>
  <si>
    <t>65</t>
  </si>
  <si>
    <t>EE25</t>
  </si>
  <si>
    <t>42.0</t>
  </si>
  <si>
    <t>ETD24</t>
  </si>
  <si>
    <t>56.3</t>
  </si>
  <si>
    <t>PQ2020</t>
  </si>
  <si>
    <t>EPC25</t>
  </si>
  <si>
    <t>ER2510</t>
  </si>
  <si>
    <t>PQ2620</t>
  </si>
  <si>
    <t>119</t>
  </si>
  <si>
    <t>EDR2609</t>
  </si>
  <si>
    <t>67.6</t>
  </si>
  <si>
    <t>EDR3909</t>
  </si>
  <si>
    <t>104.0</t>
  </si>
  <si>
    <t>槽宽（mm)</t>
  </si>
  <si>
    <t>槽深（mm)</t>
  </si>
  <si>
    <t>6.8</t>
  </si>
  <si>
    <t>1.7</t>
  </si>
  <si>
    <t>12.8</t>
  </si>
  <si>
    <t>2.5</t>
  </si>
  <si>
    <t>8.4</t>
  </si>
  <si>
    <t>2.8</t>
  </si>
  <si>
    <t>9.0</t>
  </si>
  <si>
    <t>3.7</t>
  </si>
  <si>
    <t>8.5</t>
  </si>
  <si>
    <t>2.3-3.6</t>
  </si>
  <si>
    <t>9.8</t>
  </si>
  <si>
    <t>4.5</t>
  </si>
  <si>
    <t>16.0</t>
  </si>
  <si>
    <t>2.1</t>
  </si>
  <si>
    <t>17.2</t>
  </si>
  <si>
    <t>3.3</t>
  </si>
  <si>
    <t>2.4</t>
  </si>
  <si>
    <t>6.4</t>
  </si>
  <si>
    <t>3.5</t>
  </si>
  <si>
    <t>9.2</t>
  </si>
  <si>
    <t>4.2</t>
  </si>
  <si>
    <t>10.8</t>
  </si>
  <si>
    <t>62.0</t>
  </si>
  <si>
    <t>3.1</t>
  </si>
  <si>
    <t>8.0</t>
  </si>
  <si>
    <t>12.0</t>
  </si>
  <si>
    <t>119.0</t>
  </si>
  <si>
    <t>3.6</t>
  </si>
  <si>
    <t>PQ2625</t>
  </si>
  <si>
    <t>118.0</t>
  </si>
  <si>
    <t>13.9</t>
  </si>
  <si>
    <t>4.3</t>
  </si>
  <si>
    <t>4.0</t>
  </si>
  <si>
    <t>65.0</t>
  </si>
  <si>
    <t>5.2</t>
  </si>
  <si>
    <t>2.2</t>
  </si>
  <si>
    <t>3.4</t>
  </si>
  <si>
    <t>标称直径</t>
  </si>
  <si>
    <t>截面面积</t>
  </si>
  <si>
    <t>相似美规</t>
  </si>
  <si>
    <t>相似英规</t>
  </si>
  <si>
    <r>
      <rPr>
        <sz val="10"/>
        <rFont val="宋体"/>
        <family val="0"/>
      </rPr>
      <t>最大外径</t>
    </r>
    <r>
      <rPr>
        <sz val="10"/>
        <rFont val="Arial Narrow"/>
        <family val="2"/>
      </rPr>
      <t xml:space="preserve"> Φmax/mm</t>
    </r>
  </si>
  <si>
    <r>
      <t>每米的电阻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Ro/Ω*m</t>
    </r>
    <r>
      <rPr>
        <vertAlign val="superscript"/>
        <sz val="10"/>
        <rFont val="宋体"/>
        <family val="0"/>
      </rPr>
      <t>-1</t>
    </r>
  </si>
  <si>
    <t>参考重量</t>
  </si>
  <si>
    <t>Φn/mm</t>
  </si>
  <si>
    <t>mm2</t>
  </si>
  <si>
    <t>AWG</t>
  </si>
  <si>
    <t>SWG</t>
  </si>
  <si>
    <t>2级</t>
  </si>
  <si>
    <t>标称值</t>
  </si>
  <si>
    <t>最小值</t>
  </si>
  <si>
    <t>最大值</t>
  </si>
  <si>
    <t>kg/km</t>
  </si>
  <si>
    <t xml:space="preserve"> /</t>
  </si>
  <si>
    <r>
      <t>系统工作最高频率 Fmax</t>
    </r>
    <r>
      <rPr>
        <sz val="11"/>
        <color indexed="8"/>
        <rFont val="宋体"/>
        <family val="0"/>
      </rPr>
      <t>=</t>
    </r>
  </si>
  <si>
    <r>
      <t>使用说明：本软件用于BPSemi的BP28</t>
    </r>
    <r>
      <rPr>
        <sz val="11"/>
        <color indexed="8"/>
        <rFont val="宋体"/>
        <family val="0"/>
      </rPr>
      <t>3X的系统设计。软件中</t>
    </r>
    <r>
      <rPr>
        <sz val="11"/>
        <color indexed="10"/>
        <rFont val="宋体"/>
        <family val="0"/>
      </rPr>
      <t>红色字体</t>
    </r>
    <r>
      <rPr>
        <sz val="11"/>
        <color indexed="8"/>
        <rFont val="宋体"/>
        <family val="0"/>
      </rPr>
      <t>是跟据实际电气参数要求</t>
    </r>
  </si>
  <si>
    <r>
      <t>R</t>
    </r>
    <r>
      <rPr>
        <b/>
        <sz val="11"/>
        <color indexed="8"/>
        <rFont val="宋体"/>
        <family val="0"/>
      </rPr>
      <t xml:space="preserve">OVP </t>
    </r>
    <r>
      <rPr>
        <b/>
        <sz val="11"/>
        <color indexed="8"/>
        <rFont val="宋体"/>
        <family val="0"/>
      </rPr>
      <t>电阻</t>
    </r>
  </si>
  <si>
    <r>
      <t>OVP</t>
    </r>
    <r>
      <rPr>
        <sz val="11"/>
        <color indexed="8"/>
        <rFont val="宋体"/>
        <family val="0"/>
      </rPr>
      <t>电阻_R</t>
    </r>
    <r>
      <rPr>
        <sz val="11"/>
        <color indexed="8"/>
        <rFont val="宋体"/>
        <family val="0"/>
      </rPr>
      <t>ovp</t>
    </r>
    <r>
      <rPr>
        <sz val="11"/>
        <color indexed="8"/>
        <rFont val="宋体"/>
        <family val="0"/>
      </rPr>
      <t>=</t>
    </r>
  </si>
  <si>
    <r>
      <t>负载开路输出电压V</t>
    </r>
    <r>
      <rPr>
        <sz val="11"/>
        <color indexed="8"/>
        <rFont val="宋体"/>
        <family val="0"/>
      </rPr>
      <t>ovp</t>
    </r>
    <r>
      <rPr>
        <sz val="11"/>
        <color indexed="8"/>
        <rFont val="宋体"/>
        <family val="0"/>
      </rPr>
      <t>=</t>
    </r>
  </si>
  <si>
    <t>V</t>
  </si>
  <si>
    <r>
      <t>OVP</t>
    </r>
    <r>
      <rPr>
        <sz val="11"/>
        <color indexed="8"/>
        <rFont val="宋体"/>
        <family val="0"/>
      </rPr>
      <t>退磁时间_</t>
    </r>
    <r>
      <rPr>
        <sz val="11"/>
        <color indexed="8"/>
        <rFont val="宋体"/>
        <family val="0"/>
      </rPr>
      <t>Tovp</t>
    </r>
    <r>
      <rPr>
        <sz val="11"/>
        <color indexed="8"/>
        <rFont val="宋体"/>
        <family val="0"/>
      </rPr>
      <t>=</t>
    </r>
  </si>
  <si>
    <t>KΩ</t>
  </si>
  <si>
    <t>uS</t>
  </si>
  <si>
    <r>
      <t xml:space="preserve">  BP283X</t>
    </r>
    <r>
      <rPr>
        <b/>
        <sz val="20"/>
        <rFont val="宋体"/>
        <family val="0"/>
      </rPr>
      <t>系统设计程序</t>
    </r>
    <r>
      <rPr>
        <b/>
        <sz val="20"/>
        <rFont val="宋体"/>
        <family val="0"/>
      </rPr>
      <t xml:space="preserve">          </t>
    </r>
    <r>
      <rPr>
        <b/>
        <sz val="10"/>
        <rFont val="宋体"/>
        <family val="0"/>
      </rPr>
      <t xml:space="preserve"> V1.</t>
    </r>
    <r>
      <rPr>
        <b/>
        <sz val="10"/>
        <rFont val="宋体"/>
        <family val="0"/>
      </rPr>
      <t>1</t>
    </r>
  </si>
  <si>
    <r>
      <t>BP28</t>
    </r>
    <r>
      <rPr>
        <b/>
        <sz val="11"/>
        <color indexed="8"/>
        <rFont val="宋体"/>
        <family val="0"/>
      </rPr>
      <t>3X</t>
    </r>
    <r>
      <rPr>
        <b/>
        <sz val="11"/>
        <color indexed="8"/>
        <rFont val="宋体"/>
        <family val="0"/>
      </rPr>
      <t>原理图</t>
    </r>
  </si>
  <si>
    <t>ee10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</si>
</sst>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_ "/>
    <numFmt numFmtId="187" formatCode="0.000_ "/>
    <numFmt numFmtId="188" formatCode="0.0000_ "/>
    <numFmt numFmtId="189" formatCode="0.000000_ "/>
    <numFmt numFmtId="190" formatCode="0.000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2"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i/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8"/>
      <name val="Arial Unicode MS"/>
      <family val="2"/>
    </font>
    <font>
      <b/>
      <sz val="11"/>
      <color indexed="10"/>
      <name val="宋体"/>
      <family val="0"/>
    </font>
    <font>
      <b/>
      <sz val="11"/>
      <color indexed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sz val="11"/>
      <color indexed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宋体"/>
      <family val="0"/>
    </font>
    <font>
      <b/>
      <sz val="11"/>
      <color indexed="10"/>
      <name val="黑体"/>
      <family val="0"/>
    </font>
    <font>
      <b/>
      <sz val="14"/>
      <color indexed="8"/>
      <name val="宋体"/>
      <family val="0"/>
    </font>
    <font>
      <b/>
      <sz val="11"/>
      <color indexed="8"/>
      <name val="Times New Roman"/>
      <family val="1"/>
    </font>
    <font>
      <vertAlign val="superscript"/>
      <sz val="11"/>
      <color indexed="8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vertAlign val="superscript"/>
      <sz val="10"/>
      <name val="宋体"/>
      <family val="0"/>
    </font>
    <font>
      <sz val="10"/>
      <color indexed="10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9" tint="-0.24997000396251678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/>
      <bottom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22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21" borderId="8" applyNumberFormat="0" applyAlignment="0" applyProtection="0"/>
    <xf numFmtId="0" fontId="60" fillId="30" borderId="5" applyNumberFormat="0" applyAlignment="0" applyProtection="0"/>
    <xf numFmtId="0" fontId="0" fillId="31" borderId="9" applyNumberFormat="0" applyFont="0" applyAlignment="0" applyProtection="0"/>
  </cellStyleXfs>
  <cellXfs count="213">
    <xf numFmtId="0" fontId="0" fillId="0" borderId="0" xfId="0" applyAlignment="1">
      <alignment vertical="center"/>
    </xf>
    <xf numFmtId="184" fontId="4" fillId="0" borderId="0" xfId="0" applyNumberFormat="1" applyFont="1" applyFill="1" applyBorder="1" applyAlignment="1" applyProtection="1">
      <alignment horizontal="center" vertical="center"/>
      <protection hidden="1"/>
    </xf>
    <xf numFmtId="184" fontId="4" fillId="0" borderId="0" xfId="0" applyNumberFormat="1" applyFont="1" applyAlignment="1" applyProtection="1">
      <alignment horizontal="center" vertical="center"/>
      <protection hidden="1"/>
    </xf>
    <xf numFmtId="184" fontId="7" fillId="32" borderId="10" xfId="0" applyNumberFormat="1" applyFont="1" applyFill="1" applyBorder="1" applyAlignment="1" applyProtection="1">
      <alignment horizontal="center" vertical="center"/>
      <protection hidden="1"/>
    </xf>
    <xf numFmtId="185" fontId="7" fillId="32" borderId="10" xfId="0" applyNumberFormat="1" applyFont="1" applyFill="1" applyBorder="1" applyAlignment="1" applyProtection="1">
      <alignment horizontal="center" vertical="center"/>
      <protection hidden="1"/>
    </xf>
    <xf numFmtId="184" fontId="7" fillId="32" borderId="11" xfId="0" applyNumberFormat="1" applyFont="1" applyFill="1" applyBorder="1" applyAlignment="1" applyProtection="1">
      <alignment horizontal="center" vertical="center"/>
      <protection hidden="1"/>
    </xf>
    <xf numFmtId="184" fontId="4" fillId="32" borderId="0" xfId="0" applyNumberFormat="1" applyFont="1" applyFill="1" applyBorder="1" applyAlignment="1" applyProtection="1">
      <alignment horizontal="center" vertical="center"/>
      <protection hidden="1"/>
    </xf>
    <xf numFmtId="184" fontId="7" fillId="33" borderId="10" xfId="0" applyNumberFormat="1" applyFont="1" applyFill="1" applyBorder="1" applyAlignment="1" applyProtection="1">
      <alignment horizontal="center" vertical="center"/>
      <protection hidden="1"/>
    </xf>
    <xf numFmtId="186" fontId="7" fillId="33" borderId="10" xfId="0" applyNumberFormat="1" applyFont="1" applyFill="1" applyBorder="1" applyAlignment="1" applyProtection="1">
      <alignment horizontal="center" vertical="center"/>
      <protection hidden="1"/>
    </xf>
    <xf numFmtId="185" fontId="7" fillId="33" borderId="10" xfId="0" applyNumberFormat="1" applyFont="1" applyFill="1" applyBorder="1" applyAlignment="1" applyProtection="1">
      <alignment horizontal="center" vertical="center"/>
      <protection hidden="1"/>
    </xf>
    <xf numFmtId="184" fontId="7" fillId="33" borderId="11" xfId="0" applyNumberFormat="1" applyFont="1" applyFill="1" applyBorder="1" applyAlignment="1" applyProtection="1">
      <alignment horizontal="center" vertical="center"/>
      <protection hidden="1"/>
    </xf>
    <xf numFmtId="186" fontId="7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1" fillId="32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horizontal="left"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horizontal="left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5" fillId="33" borderId="18" xfId="0" applyFon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5" fillId="33" borderId="18" xfId="0" applyFon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horizontal="left" vertical="center"/>
      <protection hidden="1"/>
    </xf>
    <xf numFmtId="0" fontId="5" fillId="33" borderId="22" xfId="0" applyFont="1" applyFill="1" applyBorder="1" applyAlignment="1" applyProtection="1">
      <alignment horizontal="left" vertical="center"/>
      <protection hidden="1"/>
    </xf>
    <xf numFmtId="185" fontId="7" fillId="33" borderId="23" xfId="0" applyNumberFormat="1" applyFont="1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vertical="center"/>
      <protection hidden="1"/>
    </xf>
    <xf numFmtId="185" fontId="7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32" borderId="16" xfId="0" applyFill="1" applyBorder="1" applyAlignment="1" applyProtection="1">
      <alignment vertical="center"/>
      <protection hidden="1"/>
    </xf>
    <xf numFmtId="0" fontId="5" fillId="32" borderId="10" xfId="0" applyFont="1" applyFill="1" applyBorder="1" applyAlignment="1" applyProtection="1">
      <alignment horizontal="left"/>
      <protection hidden="1"/>
    </xf>
    <xf numFmtId="0" fontId="0" fillId="32" borderId="10" xfId="0" applyFill="1" applyBorder="1" applyAlignment="1" applyProtection="1">
      <alignment vertical="center"/>
      <protection hidden="1"/>
    </xf>
    <xf numFmtId="0" fontId="5" fillId="32" borderId="14" xfId="0" applyFont="1" applyFill="1" applyBorder="1" applyAlignment="1" applyProtection="1">
      <alignment horizontal="left" vertical="center"/>
      <protection hidden="1"/>
    </xf>
    <xf numFmtId="0" fontId="0" fillId="32" borderId="17" xfId="0" applyFill="1" applyBorder="1" applyAlignment="1" applyProtection="1">
      <alignment vertical="center"/>
      <protection hidden="1"/>
    </xf>
    <xf numFmtId="0" fontId="5" fillId="32" borderId="11" xfId="0" applyFont="1" applyFill="1" applyBorder="1" applyAlignment="1" applyProtection="1">
      <alignment horizontal="left"/>
      <protection hidden="1"/>
    </xf>
    <xf numFmtId="0" fontId="5" fillId="32" borderId="18" xfId="0" applyFont="1" applyFill="1" applyBorder="1" applyAlignment="1" applyProtection="1">
      <alignment horizontal="left" vertical="center"/>
      <protection hidden="1"/>
    </xf>
    <xf numFmtId="0" fontId="0" fillId="32" borderId="20" xfId="0" applyFill="1" applyBorder="1" applyAlignment="1" applyProtection="1">
      <alignment vertical="center"/>
      <protection hidden="1"/>
    </xf>
    <xf numFmtId="0" fontId="5" fillId="32" borderId="0" xfId="0" applyFont="1" applyFill="1" applyBorder="1" applyAlignment="1" applyProtection="1">
      <alignment horizontal="left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5" fillId="32" borderId="21" xfId="0" applyFont="1" applyFill="1" applyBorder="1" applyAlignment="1" applyProtection="1">
      <alignment horizontal="left" vertical="center"/>
      <protection hidden="1"/>
    </xf>
    <xf numFmtId="0" fontId="3" fillId="32" borderId="1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186" fontId="6" fillId="33" borderId="10" xfId="0" applyNumberFormat="1" applyFont="1" applyFill="1" applyBorder="1" applyAlignment="1" applyProtection="1">
      <alignment horizontal="center"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/>
      <protection locked="0"/>
    </xf>
    <xf numFmtId="184" fontId="6" fillId="33" borderId="10" xfId="0" applyNumberFormat="1" applyFont="1" applyFill="1" applyBorder="1" applyAlignment="1" applyProtection="1">
      <alignment horizontal="center" vertical="center"/>
      <protection locked="0"/>
    </xf>
    <xf numFmtId="184" fontId="6" fillId="32" borderId="10" xfId="0" applyNumberFormat="1" applyFont="1" applyFill="1" applyBorder="1" applyAlignment="1" applyProtection="1">
      <alignment horizontal="center" vertical="center"/>
      <protection locked="0"/>
    </xf>
    <xf numFmtId="187" fontId="6" fillId="32" borderId="10" xfId="0" applyNumberFormat="1" applyFont="1" applyFill="1" applyBorder="1" applyAlignment="1" applyProtection="1">
      <alignment horizontal="center" vertical="center"/>
      <protection locked="0"/>
    </xf>
    <xf numFmtId="186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25" xfId="0" applyFill="1" applyBorder="1" applyAlignment="1" applyProtection="1">
      <alignment horizontal="center" vertical="center"/>
      <protection hidden="1"/>
    </xf>
    <xf numFmtId="0" fontId="0" fillId="32" borderId="15" xfId="0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0" fontId="0" fillId="33" borderId="26" xfId="0" applyFont="1" applyFill="1" applyBorder="1" applyAlignment="1" applyProtection="1">
      <alignment vertical="center"/>
      <protection hidden="1"/>
    </xf>
    <xf numFmtId="0" fontId="0" fillId="33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3" borderId="27" xfId="0" applyFont="1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5" fillId="33" borderId="29" xfId="0" applyFont="1" applyFill="1" applyBorder="1" applyAlignment="1" applyProtection="1">
      <alignment horizontal="left" vertical="center"/>
      <protection hidden="1"/>
    </xf>
    <xf numFmtId="187" fontId="7" fillId="33" borderId="12" xfId="0" applyNumberFormat="1" applyFont="1" applyFill="1" applyBorder="1" applyAlignment="1" applyProtection="1">
      <alignment horizontal="center" vertical="center"/>
      <protection hidden="1"/>
    </xf>
    <xf numFmtId="187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2" borderId="16" xfId="0" applyFont="1" applyFill="1" applyBorder="1" applyAlignment="1" applyProtection="1">
      <alignment vertical="center"/>
      <protection hidden="1"/>
    </xf>
    <xf numFmtId="0" fontId="0" fillId="33" borderId="30" xfId="0" applyFont="1" applyFill="1" applyBorder="1" applyAlignment="1" applyProtection="1">
      <alignment vertical="center"/>
      <protection hidden="1"/>
    </xf>
    <xf numFmtId="0" fontId="0" fillId="32" borderId="10" xfId="0" applyFont="1" applyFill="1" applyBorder="1" applyAlignment="1" applyProtection="1">
      <alignment vertical="center"/>
      <protection hidden="1"/>
    </xf>
    <xf numFmtId="0" fontId="0" fillId="32" borderId="11" xfId="0" applyFont="1" applyFill="1" applyBorder="1" applyAlignment="1" applyProtection="1">
      <alignment vertical="center"/>
      <protection hidden="1"/>
    </xf>
    <xf numFmtId="0" fontId="0" fillId="32" borderId="25" xfId="0" applyFont="1" applyFill="1" applyBorder="1" applyAlignment="1" applyProtection="1">
      <alignment vertical="center"/>
      <protection hidden="1"/>
    </xf>
    <xf numFmtId="0" fontId="5" fillId="32" borderId="31" xfId="0" applyFont="1" applyFill="1" applyBorder="1" applyAlignment="1" applyProtection="1">
      <alignment horizontal="left" vertical="center"/>
      <protection hidden="1"/>
    </xf>
    <xf numFmtId="187" fontId="7" fillId="32" borderId="10" xfId="0" applyNumberFormat="1" applyFont="1" applyFill="1" applyBorder="1" applyAlignment="1" applyProtection="1">
      <alignment horizontal="center" vertical="center"/>
      <protection hidden="1"/>
    </xf>
    <xf numFmtId="186" fontId="6" fillId="33" borderId="10" xfId="0" applyNumberFormat="1" applyFont="1" applyFill="1" applyBorder="1" applyAlignment="1" applyProtection="1">
      <alignment horizontal="center" vertical="center"/>
      <protection hidden="1"/>
    </xf>
    <xf numFmtId="185" fontId="6" fillId="33" borderId="10" xfId="0" applyNumberFormat="1" applyFont="1" applyFill="1" applyBorder="1" applyAlignment="1" applyProtection="1">
      <alignment horizontal="center" vertical="center"/>
      <protection hidden="1"/>
    </xf>
    <xf numFmtId="187" fontId="6" fillId="32" borderId="25" xfId="0" applyNumberFormat="1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center" vertical="center"/>
      <protection hidden="1"/>
    </xf>
    <xf numFmtId="184" fontId="7" fillId="32" borderId="0" xfId="0" applyNumberFormat="1" applyFont="1" applyFill="1" applyBorder="1" applyAlignment="1" applyProtection="1">
      <alignment horizontal="center" vertical="center"/>
      <protection hidden="1"/>
    </xf>
    <xf numFmtId="0" fontId="0" fillId="32" borderId="32" xfId="0" applyFont="1" applyFill="1" applyBorder="1" applyAlignment="1" applyProtection="1">
      <alignment vertical="center"/>
      <protection hidden="1"/>
    </xf>
    <xf numFmtId="184" fontId="21" fillId="32" borderId="33" xfId="0" applyNumberFormat="1" applyFont="1" applyFill="1" applyBorder="1" applyAlignment="1" applyProtection="1">
      <alignment horizontal="center"/>
      <protection locked="0"/>
    </xf>
    <xf numFmtId="0" fontId="5" fillId="32" borderId="25" xfId="0" applyFont="1" applyFill="1" applyBorder="1" applyAlignment="1" applyProtection="1">
      <alignment horizontal="left"/>
      <protection hidden="1"/>
    </xf>
    <xf numFmtId="0" fontId="0" fillId="32" borderId="10" xfId="0" applyFont="1" applyFill="1" applyBorder="1" applyAlignment="1" applyProtection="1">
      <alignment vertical="center"/>
      <protection hidden="1"/>
    </xf>
    <xf numFmtId="184" fontId="21" fillId="32" borderId="34" xfId="0" applyNumberFormat="1" applyFont="1" applyFill="1" applyBorder="1" applyAlignment="1" applyProtection="1">
      <alignment horizontal="center"/>
      <protection locked="0"/>
    </xf>
    <xf numFmtId="0" fontId="5" fillId="32" borderId="35" xfId="0" applyFont="1" applyFill="1" applyBorder="1" applyAlignment="1" applyProtection="1">
      <alignment horizontal="left" vertical="center"/>
      <protection hidden="1"/>
    </xf>
    <xf numFmtId="0" fontId="0" fillId="32" borderId="36" xfId="0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/>
    </xf>
    <xf numFmtId="184" fontId="21" fillId="32" borderId="32" xfId="0" applyNumberFormat="1" applyFont="1" applyFill="1" applyBorder="1" applyAlignment="1" applyProtection="1">
      <alignment horizontal="center"/>
      <protection locked="0"/>
    </xf>
    <xf numFmtId="0" fontId="5" fillId="32" borderId="32" xfId="0" applyFont="1" applyFill="1" applyBorder="1" applyAlignment="1" applyProtection="1">
      <alignment horizontal="left"/>
      <protection hidden="1"/>
    </xf>
    <xf numFmtId="186" fontId="7" fillId="32" borderId="10" xfId="0" applyNumberFormat="1" applyFont="1" applyFill="1" applyBorder="1" applyAlignment="1" applyProtection="1">
      <alignment horizontal="center" vertical="center"/>
      <protection hidden="1"/>
    </xf>
    <xf numFmtId="184" fontId="7" fillId="32" borderId="32" xfId="0" applyNumberFormat="1" applyFont="1" applyFill="1" applyBorder="1" applyAlignment="1" applyProtection="1">
      <alignment horizontal="center" vertical="center"/>
      <protection hidden="1"/>
    </xf>
    <xf numFmtId="0" fontId="5" fillId="32" borderId="37" xfId="0" applyFont="1" applyFill="1" applyBorder="1" applyAlignment="1" applyProtection="1">
      <alignment horizontal="left" vertical="center"/>
      <protection hidden="1"/>
    </xf>
    <xf numFmtId="0" fontId="0" fillId="32" borderId="11" xfId="0" applyFont="1" applyFill="1" applyBorder="1" applyAlignment="1" applyProtection="1">
      <alignment vertical="center"/>
      <protection hidden="1"/>
    </xf>
    <xf numFmtId="0" fontId="0" fillId="32" borderId="38" xfId="0" applyFill="1" applyBorder="1" applyAlignment="1" applyProtection="1">
      <alignment horizontal="center" vertical="center"/>
      <protection hidden="1"/>
    </xf>
    <xf numFmtId="0" fontId="0" fillId="32" borderId="11" xfId="0" applyFill="1" applyBorder="1" applyAlignment="1" applyProtection="1">
      <alignment vertical="center"/>
      <protection hidden="1"/>
    </xf>
    <xf numFmtId="0" fontId="0" fillId="0" borderId="39" xfId="0" applyFill="1" applyBorder="1" applyAlignment="1" applyProtection="1">
      <alignment vertical="center"/>
      <protection hidden="1"/>
    </xf>
    <xf numFmtId="184" fontId="4" fillId="0" borderId="40" xfId="0" applyNumberFormat="1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left"/>
      <protection hidden="1"/>
    </xf>
    <xf numFmtId="0" fontId="0" fillId="0" borderId="40" xfId="0" applyFill="1" applyBorder="1" applyAlignment="1" applyProtection="1">
      <alignment vertical="center"/>
      <protection hidden="1"/>
    </xf>
    <xf numFmtId="0" fontId="5" fillId="0" borderId="41" xfId="0" applyFont="1" applyFill="1" applyBorder="1" applyAlignment="1" applyProtection="1">
      <alignment horizontal="left" vertical="center"/>
      <protection hidden="1"/>
    </xf>
    <xf numFmtId="49" fontId="22" fillId="0" borderId="0" xfId="40" applyNumberFormat="1" applyFont="1" applyAlignment="1" applyProtection="1">
      <alignment/>
      <protection hidden="1"/>
    </xf>
    <xf numFmtId="49" fontId="23" fillId="0" borderId="0" xfId="40" applyNumberFormat="1" applyFont="1" applyAlignment="1" applyProtection="1">
      <alignment/>
      <protection hidden="1"/>
    </xf>
    <xf numFmtId="49" fontId="44" fillId="0" borderId="0" xfId="40" applyNumberFormat="1" applyAlignment="1" applyProtection="1">
      <alignment horizontal="center"/>
      <protection hidden="1"/>
    </xf>
    <xf numFmtId="49" fontId="44" fillId="0" borderId="0" xfId="40" applyNumberFormat="1" applyAlignment="1" applyProtection="1">
      <alignment/>
      <protection hidden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187" fontId="26" fillId="0" borderId="10" xfId="0" applyNumberFormat="1" applyFont="1" applyBorder="1" applyAlignment="1">
      <alignment horizontal="center"/>
    </xf>
    <xf numFmtId="189" fontId="26" fillId="0" borderId="10" xfId="0" applyNumberFormat="1" applyFont="1" applyBorder="1" applyAlignment="1">
      <alignment horizontal="center"/>
    </xf>
    <xf numFmtId="185" fontId="26" fillId="0" borderId="10" xfId="0" applyNumberFormat="1" applyFont="1" applyBorder="1" applyAlignment="1">
      <alignment horizontal="center"/>
    </xf>
    <xf numFmtId="187" fontId="28" fillId="0" borderId="10" xfId="0" applyNumberFormat="1" applyFont="1" applyBorder="1" applyAlignment="1">
      <alignment horizontal="center"/>
    </xf>
    <xf numFmtId="190" fontId="26" fillId="0" borderId="10" xfId="0" applyNumberFormat="1" applyFont="1" applyBorder="1" applyAlignment="1">
      <alignment horizontal="center"/>
    </xf>
    <xf numFmtId="188" fontId="26" fillId="0" borderId="10" xfId="0" applyNumberFormat="1" applyFont="1" applyBorder="1" applyAlignment="1">
      <alignment horizontal="center"/>
    </xf>
    <xf numFmtId="189" fontId="2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5" fontId="61" fillId="33" borderId="10" xfId="0" applyNumberFormat="1" applyFont="1" applyFill="1" applyBorder="1" applyAlignment="1" applyProtection="1">
      <alignment horizontal="center" vertical="center"/>
      <protection locked="0"/>
    </xf>
    <xf numFmtId="184" fontId="7" fillId="3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2" borderId="16" xfId="0" applyFont="1" applyFill="1" applyBorder="1" applyAlignment="1" applyProtection="1">
      <alignment vertical="center"/>
      <protection hidden="1"/>
    </xf>
    <xf numFmtId="0" fontId="0" fillId="32" borderId="17" xfId="0" applyFont="1" applyFill="1" applyBorder="1" applyAlignment="1" applyProtection="1">
      <alignment vertical="center"/>
      <protection hidden="1"/>
    </xf>
    <xf numFmtId="0" fontId="4" fillId="32" borderId="45" xfId="0" applyFont="1" applyFill="1" applyBorder="1" applyAlignment="1" applyProtection="1">
      <alignment horizontal="left" vertical="center"/>
      <protection hidden="1"/>
    </xf>
    <xf numFmtId="0" fontId="4" fillId="32" borderId="46" xfId="0" applyFont="1" applyFill="1" applyBorder="1" applyAlignment="1" applyProtection="1">
      <alignment horizontal="left" vertical="center"/>
      <protection hidden="1"/>
    </xf>
    <xf numFmtId="0" fontId="4" fillId="32" borderId="47" xfId="0" applyFont="1" applyFill="1" applyBorder="1" applyAlignment="1" applyProtection="1">
      <alignment horizontal="left" vertical="center"/>
      <protection hidden="1"/>
    </xf>
    <xf numFmtId="0" fontId="0" fillId="32" borderId="34" xfId="0" applyFont="1" applyFill="1" applyBorder="1" applyAlignment="1" applyProtection="1">
      <alignment horizontal="center" vertical="center"/>
      <protection hidden="1"/>
    </xf>
    <xf numFmtId="0" fontId="0" fillId="32" borderId="48" xfId="0" applyFont="1" applyFill="1" applyBorder="1" applyAlignment="1" applyProtection="1">
      <alignment horizontal="center" vertical="center"/>
      <protection hidden="1"/>
    </xf>
    <xf numFmtId="0" fontId="4" fillId="32" borderId="49" xfId="0" applyFont="1" applyFill="1" applyBorder="1" applyAlignment="1" applyProtection="1">
      <alignment horizontal="left" vertical="center"/>
      <protection hidden="1"/>
    </xf>
    <xf numFmtId="0" fontId="0" fillId="32" borderId="49" xfId="0" applyFill="1" applyBorder="1" applyAlignment="1" applyProtection="1">
      <alignment horizontal="left" vertical="center"/>
      <protection hidden="1"/>
    </xf>
    <xf numFmtId="0" fontId="4" fillId="32" borderId="50" xfId="0" applyFont="1" applyFill="1" applyBorder="1" applyAlignment="1" applyProtection="1">
      <alignment horizontal="left" vertical="center"/>
      <protection hidden="1"/>
    </xf>
    <xf numFmtId="0" fontId="4" fillId="32" borderId="51" xfId="0" applyFont="1" applyFill="1" applyBorder="1" applyAlignment="1" applyProtection="1">
      <alignment horizontal="left" vertical="center"/>
      <protection hidden="1"/>
    </xf>
    <xf numFmtId="0" fontId="4" fillId="32" borderId="48" xfId="0" applyFont="1" applyFill="1" applyBorder="1" applyAlignment="1" applyProtection="1">
      <alignment horizontal="left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41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21" xfId="0" applyFont="1" applyFill="1" applyBorder="1" applyAlignment="1" applyProtection="1">
      <alignment horizontal="right" vertic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4" fillId="33" borderId="27" xfId="0" applyFont="1" applyFill="1" applyBorder="1" applyAlignment="1" applyProtection="1">
      <alignment horizontal="left" vertical="center"/>
      <protection hidden="1"/>
    </xf>
    <xf numFmtId="0" fontId="4" fillId="33" borderId="23" xfId="0" applyFont="1" applyFill="1" applyBorder="1" applyAlignment="1" applyProtection="1">
      <alignment horizontal="left" vertical="center"/>
      <protection hidden="1"/>
    </xf>
    <xf numFmtId="0" fontId="4" fillId="33" borderId="22" xfId="0" applyFont="1" applyFill="1" applyBorder="1" applyAlignment="1" applyProtection="1">
      <alignment horizontal="left"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/>
    </xf>
    <xf numFmtId="0" fontId="0" fillId="32" borderId="51" xfId="0" applyFont="1" applyFill="1" applyBorder="1" applyAlignment="1" applyProtection="1">
      <alignment horizontal="center" vertical="center"/>
      <protection hidden="1"/>
    </xf>
    <xf numFmtId="0" fontId="0" fillId="32" borderId="13" xfId="0" applyFont="1" applyFill="1" applyBorder="1" applyAlignment="1" applyProtection="1">
      <alignment horizontal="center" vertical="center"/>
      <protection hidden="1"/>
    </xf>
    <xf numFmtId="0" fontId="0" fillId="32" borderId="25" xfId="0" applyFill="1" applyBorder="1" applyAlignment="1" applyProtection="1">
      <alignment horizontal="center" vertical="center"/>
      <protection hidden="1"/>
    </xf>
    <xf numFmtId="0" fontId="0" fillId="32" borderId="15" xfId="0" applyFill="1" applyBorder="1" applyAlignment="1" applyProtection="1">
      <alignment horizontal="center" vertical="center"/>
      <protection hidden="1"/>
    </xf>
    <xf numFmtId="0" fontId="0" fillId="32" borderId="19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/>
      <protection hidden="1"/>
    </xf>
    <xf numFmtId="0" fontId="0" fillId="0" borderId="55" xfId="0" applyFill="1" applyBorder="1" applyAlignment="1" applyProtection="1">
      <alignment/>
      <protection hidden="1"/>
    </xf>
    <xf numFmtId="0" fontId="0" fillId="0" borderId="56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38" xfId="0" applyFill="1" applyBorder="1" applyAlignment="1" applyProtection="1">
      <alignment/>
      <protection hidden="1"/>
    </xf>
    <xf numFmtId="0" fontId="0" fillId="0" borderId="53" xfId="0" applyFill="1" applyBorder="1" applyAlignment="1" applyProtection="1">
      <alignment/>
      <protection hidden="1"/>
    </xf>
    <xf numFmtId="0" fontId="4" fillId="33" borderId="40" xfId="0" applyFont="1" applyFill="1" applyBorder="1" applyAlignment="1" applyProtection="1">
      <alignment horizontal="left" vertical="center"/>
      <protection hidden="1"/>
    </xf>
    <xf numFmtId="0" fontId="4" fillId="33" borderId="40" xfId="0" applyFont="1" applyFill="1" applyBorder="1" applyAlignment="1" applyProtection="1">
      <alignment horizontal="left" vertical="center"/>
      <protection hidden="1"/>
    </xf>
    <xf numFmtId="0" fontId="4" fillId="33" borderId="41" xfId="0" applyFont="1" applyFill="1" applyBorder="1" applyAlignment="1" applyProtection="1">
      <alignment horizontal="left" vertical="center"/>
      <protection hidden="1"/>
    </xf>
    <xf numFmtId="0" fontId="4" fillId="32" borderId="57" xfId="0" applyFont="1" applyFill="1" applyBorder="1" applyAlignment="1" applyProtection="1">
      <alignment horizontal="center" vertical="center"/>
      <protection hidden="1"/>
    </xf>
    <xf numFmtId="0" fontId="4" fillId="32" borderId="58" xfId="0" applyFont="1" applyFill="1" applyBorder="1" applyAlignment="1" applyProtection="1">
      <alignment horizontal="center" vertical="center"/>
      <protection hidden="1"/>
    </xf>
    <xf numFmtId="0" fontId="4" fillId="32" borderId="59" xfId="0" applyFont="1" applyFill="1" applyBorder="1" applyAlignment="1" applyProtection="1">
      <alignment horizontal="center" vertical="center"/>
      <protection hidden="1"/>
    </xf>
    <xf numFmtId="0" fontId="4" fillId="32" borderId="36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2" borderId="21" xfId="0" applyFont="1" applyFill="1" applyBorder="1" applyAlignment="1" applyProtection="1">
      <alignment horizontal="center" vertical="center"/>
      <protection hidden="1"/>
    </xf>
    <xf numFmtId="0" fontId="4" fillId="32" borderId="60" xfId="0" applyFont="1" applyFill="1" applyBorder="1" applyAlignment="1" applyProtection="1">
      <alignment horizontal="center" vertical="center"/>
      <protection hidden="1"/>
    </xf>
    <xf numFmtId="0" fontId="4" fillId="32" borderId="38" xfId="0" applyFont="1" applyFill="1" applyBorder="1" applyAlignment="1" applyProtection="1">
      <alignment horizontal="center" vertical="center"/>
      <protection hidden="1"/>
    </xf>
    <xf numFmtId="0" fontId="4" fillId="32" borderId="53" xfId="0" applyFont="1" applyFill="1" applyBorder="1" applyAlignment="1" applyProtection="1">
      <alignment horizontal="center" vertical="center"/>
      <protection hidden="1"/>
    </xf>
    <xf numFmtId="0" fontId="4" fillId="33" borderId="45" xfId="0" applyFont="1" applyFill="1" applyBorder="1" applyAlignment="1" applyProtection="1">
      <alignment horizontal="left" vertical="center"/>
      <protection hidden="1"/>
    </xf>
    <xf numFmtId="0" fontId="4" fillId="33" borderId="46" xfId="0" applyFont="1" applyFill="1" applyBorder="1" applyAlignment="1" applyProtection="1">
      <alignment horizontal="left" vertical="center"/>
      <protection hidden="1"/>
    </xf>
    <xf numFmtId="0" fontId="4" fillId="33" borderId="47" xfId="0" applyFont="1" applyFill="1" applyBorder="1" applyAlignment="1" applyProtection="1">
      <alignment horizontal="left" vertical="center"/>
      <protection hidden="1"/>
    </xf>
    <xf numFmtId="0" fontId="0" fillId="32" borderId="11" xfId="0" applyFill="1" applyBorder="1" applyAlignment="1" applyProtection="1">
      <alignment horizontal="left" vertical="center"/>
      <protection hidden="1"/>
    </xf>
    <xf numFmtId="0" fontId="0" fillId="32" borderId="18" xfId="0" applyFill="1" applyBorder="1" applyAlignment="1" applyProtection="1">
      <alignment horizontal="left" vertical="center"/>
      <protection hidden="1"/>
    </xf>
    <xf numFmtId="0" fontId="4" fillId="32" borderId="50" xfId="0" applyFont="1" applyFill="1" applyBorder="1" applyAlignment="1" applyProtection="1">
      <alignment horizontal="left" vertical="center"/>
      <protection hidden="1"/>
    </xf>
    <xf numFmtId="0" fontId="0" fillId="32" borderId="34" xfId="0" applyFill="1" applyBorder="1" applyAlignment="1" applyProtection="1">
      <alignment horizontal="center" vertical="center"/>
      <protection hidden="1"/>
    </xf>
    <xf numFmtId="0" fontId="0" fillId="32" borderId="51" xfId="0" applyFill="1" applyBorder="1" applyAlignment="1" applyProtection="1">
      <alignment horizontal="center" vertical="center"/>
      <protection hidden="1"/>
    </xf>
    <xf numFmtId="0" fontId="0" fillId="32" borderId="48" xfId="0" applyFill="1" applyBorder="1" applyAlignment="1" applyProtection="1">
      <alignment horizontal="center" vertical="center"/>
      <protection hidden="1"/>
    </xf>
    <xf numFmtId="0" fontId="0" fillId="33" borderId="61" xfId="0" applyFill="1" applyBorder="1" applyAlignment="1" applyProtection="1">
      <alignment horizontal="center" vertical="center"/>
      <protection hidden="1"/>
    </xf>
    <xf numFmtId="0" fontId="0" fillId="33" borderId="58" xfId="0" applyFill="1" applyBorder="1" applyAlignment="1" applyProtection="1">
      <alignment horizontal="center" vertical="center"/>
      <protection hidden="1"/>
    </xf>
    <xf numFmtId="0" fontId="0" fillId="33" borderId="59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0" fillId="33" borderId="62" xfId="0" applyFill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0" fillId="32" borderId="10" xfId="0" applyFill="1" applyBorder="1" applyAlignment="1" applyProtection="1">
      <alignment horizontal="lef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4" fillId="32" borderId="45" xfId="0" applyFont="1" applyFill="1" applyBorder="1" applyAlignment="1" applyProtection="1">
      <alignment horizontal="left" vertical="center"/>
      <protection hidden="1"/>
    </xf>
    <xf numFmtId="49" fontId="0" fillId="0" borderId="27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5" zoomScaleNormal="85" zoomScaleSheetLayoutView="100" zoomScalePageLayoutView="0" workbookViewId="0" topLeftCell="A10">
      <selection activeCell="F21" sqref="F21"/>
    </sheetView>
  </sheetViews>
  <sheetFormatPr defaultColWidth="9.00390625" defaultRowHeight="19.5" customHeight="1"/>
  <cols>
    <col min="1" max="1" width="32.00390625" style="12" customWidth="1"/>
    <col min="2" max="2" width="10.625" style="2" customWidth="1"/>
    <col min="3" max="3" width="7.25390625" style="49" customWidth="1"/>
    <col min="4" max="4" width="5.625" style="12" customWidth="1"/>
    <col min="5" max="5" width="28.625" style="12" customWidth="1"/>
    <col min="6" max="6" width="10.625" style="2" customWidth="1"/>
    <col min="7" max="7" width="7.25390625" style="50" customWidth="1"/>
    <col min="8" max="8" width="20.625" style="12" customWidth="1"/>
    <col min="9" max="9" width="8.625" style="14" customWidth="1"/>
    <col min="10" max="10" width="5.625" style="15" customWidth="1"/>
    <col min="11" max="11" width="20.625" style="12" customWidth="1"/>
    <col min="12" max="12" width="8.625" style="14" customWidth="1"/>
    <col min="13" max="13" width="5.625" style="16" customWidth="1"/>
    <col min="14" max="16384" width="9.00390625" style="12" customWidth="1"/>
  </cols>
  <sheetData>
    <row r="1" spans="1:7" ht="26.25" thickBot="1">
      <c r="A1" s="150" t="s">
        <v>201</v>
      </c>
      <c r="B1" s="151"/>
      <c r="C1" s="151"/>
      <c r="D1" s="151"/>
      <c r="E1" s="151"/>
      <c r="F1" s="151"/>
      <c r="G1" s="152"/>
    </row>
    <row r="2" spans="1:7" ht="9.75" customHeight="1" thickBot="1">
      <c r="A2" s="153"/>
      <c r="B2" s="154"/>
      <c r="C2" s="154"/>
      <c r="D2" s="154"/>
      <c r="E2" s="154"/>
      <c r="F2" s="154"/>
      <c r="G2" s="155"/>
    </row>
    <row r="3" spans="1:7" ht="19.5" customHeight="1">
      <c r="A3" s="168" t="s">
        <v>193</v>
      </c>
      <c r="B3" s="169"/>
      <c r="C3" s="169"/>
      <c r="D3" s="169"/>
      <c r="E3" s="169"/>
      <c r="F3" s="169"/>
      <c r="G3" s="170"/>
    </row>
    <row r="4" spans="1:7" ht="19.5" customHeight="1" thickBot="1">
      <c r="A4" s="171" t="s">
        <v>34</v>
      </c>
      <c r="B4" s="172"/>
      <c r="C4" s="172"/>
      <c r="D4" s="172"/>
      <c r="E4" s="172"/>
      <c r="F4" s="172"/>
      <c r="G4" s="173"/>
    </row>
    <row r="5" spans="1:7" ht="9.75" customHeight="1" thickBot="1">
      <c r="A5" s="156"/>
      <c r="B5" s="157"/>
      <c r="C5" s="157"/>
      <c r="D5" s="157"/>
      <c r="E5" s="157"/>
      <c r="F5" s="157"/>
      <c r="G5" s="158"/>
    </row>
    <row r="6" spans="1:13" ht="19.5" customHeight="1">
      <c r="A6" s="159" t="s">
        <v>56</v>
      </c>
      <c r="B6" s="160"/>
      <c r="C6" s="161"/>
      <c r="D6" s="17"/>
      <c r="E6" s="162" t="s">
        <v>0</v>
      </c>
      <c r="F6" s="160"/>
      <c r="G6" s="161"/>
      <c r="H6" s="18"/>
      <c r="I6" s="18"/>
      <c r="J6" s="18"/>
      <c r="L6" s="12"/>
      <c r="M6" s="12"/>
    </row>
    <row r="7" spans="1:13" ht="19.5" customHeight="1">
      <c r="A7" s="60" t="s">
        <v>49</v>
      </c>
      <c r="B7" s="51">
        <v>18</v>
      </c>
      <c r="C7" s="20" t="s">
        <v>6</v>
      </c>
      <c r="D7" s="21"/>
      <c r="E7" s="22" t="s">
        <v>2</v>
      </c>
      <c r="F7" s="52">
        <v>85</v>
      </c>
      <c r="G7" s="23" t="s">
        <v>7</v>
      </c>
      <c r="H7"/>
      <c r="J7" s="16"/>
      <c r="L7" s="12"/>
      <c r="M7" s="12"/>
    </row>
    <row r="8" spans="1:13" ht="19.5" customHeight="1">
      <c r="A8" s="60" t="s">
        <v>50</v>
      </c>
      <c r="B8" s="51">
        <v>25</v>
      </c>
      <c r="C8" s="20" t="s">
        <v>6</v>
      </c>
      <c r="D8" s="21"/>
      <c r="E8" s="22"/>
      <c r="F8" s="77"/>
      <c r="G8" s="23"/>
      <c r="J8" s="16"/>
      <c r="L8" s="12"/>
      <c r="M8" s="12"/>
    </row>
    <row r="9" spans="1:13" ht="19.5" customHeight="1">
      <c r="A9" s="19" t="s">
        <v>3</v>
      </c>
      <c r="B9" s="52">
        <v>230</v>
      </c>
      <c r="C9" s="20" t="s">
        <v>9</v>
      </c>
      <c r="D9" s="21"/>
      <c r="E9" s="22" t="s">
        <v>1</v>
      </c>
      <c r="F9" s="52">
        <v>265</v>
      </c>
      <c r="G9" s="23" t="s">
        <v>7</v>
      </c>
      <c r="J9" s="16"/>
      <c r="L9" s="12"/>
      <c r="M9" s="12"/>
    </row>
    <row r="10" spans="1:13" ht="19.5" customHeight="1">
      <c r="A10" s="60" t="s">
        <v>51</v>
      </c>
      <c r="B10" s="52">
        <v>1</v>
      </c>
      <c r="C10" s="20" t="s">
        <v>14</v>
      </c>
      <c r="D10" s="21"/>
      <c r="E10" s="22" t="s">
        <v>36</v>
      </c>
      <c r="F10" s="52">
        <v>50</v>
      </c>
      <c r="G10" s="23" t="s">
        <v>8</v>
      </c>
      <c r="J10" s="16"/>
      <c r="L10" s="12"/>
      <c r="M10" s="12"/>
    </row>
    <row r="11" spans="1:13" ht="19.5" customHeight="1">
      <c r="A11" s="60" t="s">
        <v>52</v>
      </c>
      <c r="B11" s="52">
        <v>1</v>
      </c>
      <c r="C11" s="20" t="s">
        <v>14</v>
      </c>
      <c r="D11" s="21"/>
      <c r="E11" s="22"/>
      <c r="F11" s="77"/>
      <c r="G11" s="23"/>
      <c r="J11" s="16"/>
      <c r="L11" s="12"/>
      <c r="M11" s="12"/>
    </row>
    <row r="12" spans="1:13" ht="19.5" customHeight="1">
      <c r="A12" s="19" t="s">
        <v>4</v>
      </c>
      <c r="B12" s="52">
        <v>1</v>
      </c>
      <c r="C12" s="20" t="s">
        <v>14</v>
      </c>
      <c r="D12" s="21"/>
      <c r="E12" s="22" t="s">
        <v>38</v>
      </c>
      <c r="F12" s="52">
        <v>6.8</v>
      </c>
      <c r="G12" s="23" t="s">
        <v>30</v>
      </c>
      <c r="J12" s="16"/>
      <c r="L12" s="12"/>
      <c r="M12" s="12"/>
    </row>
    <row r="13" spans="1:13" ht="19.5" customHeight="1">
      <c r="A13" s="60" t="s">
        <v>53</v>
      </c>
      <c r="B13" s="8">
        <f>B10*B7</f>
        <v>18</v>
      </c>
      <c r="C13" s="24" t="s">
        <v>6</v>
      </c>
      <c r="D13" s="21"/>
      <c r="E13" s="22" t="s">
        <v>39</v>
      </c>
      <c r="F13" s="51">
        <v>1</v>
      </c>
      <c r="G13" s="23" t="s">
        <v>31</v>
      </c>
      <c r="J13" s="16"/>
      <c r="L13" s="12"/>
      <c r="M13" s="12"/>
    </row>
    <row r="14" spans="1:13" ht="19.5" customHeight="1">
      <c r="A14" s="60" t="s">
        <v>54</v>
      </c>
      <c r="B14" s="8">
        <f>B8*B11</f>
        <v>25</v>
      </c>
      <c r="C14" s="24" t="s">
        <v>6</v>
      </c>
      <c r="D14" s="21"/>
      <c r="E14" s="22"/>
      <c r="F14" s="76"/>
      <c r="G14" s="23"/>
      <c r="J14" s="16"/>
      <c r="L14" s="12"/>
      <c r="M14" s="12"/>
    </row>
    <row r="15" spans="1:13" ht="19.5" customHeight="1">
      <c r="A15" s="19" t="s">
        <v>5</v>
      </c>
      <c r="B15" s="9">
        <f>B9*B12</f>
        <v>230</v>
      </c>
      <c r="C15" s="24" t="s">
        <v>9</v>
      </c>
      <c r="D15" s="21"/>
      <c r="E15" s="22" t="s">
        <v>40</v>
      </c>
      <c r="F15" s="7">
        <f>IF(F13&lt;0.6,IF(F12&lt;0.5*B18,error,(2*(F7/2)^2-B18*0.285*10^6/(F12*F10))^0.5),(2*(F7)^2-B18*0.7*10^6/(F12*F10))^0.5)</f>
        <v>31.58258844756284</v>
      </c>
      <c r="G15" s="23" t="s">
        <v>41</v>
      </c>
      <c r="J15" s="16"/>
      <c r="L15" s="12"/>
      <c r="M15" s="12"/>
    </row>
    <row r="16" spans="1:13" ht="19.5" customHeight="1">
      <c r="A16" s="19" t="s">
        <v>11</v>
      </c>
      <c r="B16" s="7">
        <f>B14*B15/1000</f>
        <v>5.75</v>
      </c>
      <c r="C16" s="24" t="s">
        <v>12</v>
      </c>
      <c r="D16" s="21"/>
      <c r="E16" s="22" t="s">
        <v>42</v>
      </c>
      <c r="F16" s="7">
        <f>SQRT(2)*F9</f>
        <v>374.7665940288702</v>
      </c>
      <c r="G16" s="23" t="s">
        <v>41</v>
      </c>
      <c r="J16" s="16"/>
      <c r="L16" s="12"/>
      <c r="M16" s="12"/>
    </row>
    <row r="17" spans="1:13" ht="19.5" customHeight="1">
      <c r="A17" s="22" t="s">
        <v>33</v>
      </c>
      <c r="B17" s="53">
        <v>88</v>
      </c>
      <c r="C17" s="24" t="s">
        <v>43</v>
      </c>
      <c r="D17" s="21"/>
      <c r="E17" s="59" t="s">
        <v>48</v>
      </c>
      <c r="F17" s="53">
        <v>30</v>
      </c>
      <c r="G17" s="23" t="s">
        <v>10</v>
      </c>
      <c r="J17" s="16"/>
      <c r="L17" s="12"/>
      <c r="M17" s="12"/>
    </row>
    <row r="18" spans="1:13" ht="19.5" customHeight="1" thickBot="1">
      <c r="A18" s="25" t="s">
        <v>37</v>
      </c>
      <c r="B18" s="10">
        <f>B16/B17*100</f>
        <v>6.534090909090909</v>
      </c>
      <c r="C18" s="26" t="s">
        <v>12</v>
      </c>
      <c r="D18" s="27"/>
      <c r="E18" s="137" t="s">
        <v>192</v>
      </c>
      <c r="F18" s="7">
        <f>MAX(1/(B25/B24/1000*F22/1000/(F16-B14)+B25/B24/1000*F22/1000/(B14))/1000,1/(B25/B24/1000*F22/1000/(F16-B13)+B25/B24/1000*F22/1000/(B13))/1000)</f>
        <v>134.33516983151915</v>
      </c>
      <c r="G18" s="23" t="s">
        <v>10</v>
      </c>
      <c r="H18" s="136"/>
      <c r="J18" s="16"/>
      <c r="L18" s="12"/>
      <c r="M18" s="12"/>
    </row>
    <row r="19" spans="1:7" ht="9.75" customHeight="1" thickBot="1">
      <c r="A19" s="29"/>
      <c r="B19" s="1"/>
      <c r="C19" s="30"/>
      <c r="D19" s="31"/>
      <c r="E19" s="31"/>
      <c r="F19" s="1"/>
      <c r="G19" s="32"/>
    </row>
    <row r="20" spans="1:7" ht="19.5" customHeight="1" thickBot="1">
      <c r="A20" s="174" t="s">
        <v>55</v>
      </c>
      <c r="B20" s="175"/>
      <c r="C20" s="175"/>
      <c r="D20" s="175"/>
      <c r="E20" s="175"/>
      <c r="F20" s="175"/>
      <c r="G20" s="176"/>
    </row>
    <row r="21" spans="1:13" ht="19.5" customHeight="1">
      <c r="A21" s="64"/>
      <c r="B21" s="67"/>
      <c r="C21" s="66"/>
      <c r="D21" s="17"/>
      <c r="E21" s="61" t="s">
        <v>58</v>
      </c>
      <c r="F21" s="34">
        <f>F16</f>
        <v>374.7665940288702</v>
      </c>
      <c r="G21" s="33" t="s">
        <v>6</v>
      </c>
      <c r="J21" s="16"/>
      <c r="L21" s="12"/>
      <c r="M21" s="12"/>
    </row>
    <row r="22" spans="1:13" ht="19.5" customHeight="1">
      <c r="A22" s="19"/>
      <c r="B22" s="68"/>
      <c r="C22" s="20"/>
      <c r="D22" s="65"/>
      <c r="E22" s="59" t="s">
        <v>59</v>
      </c>
      <c r="F22" s="9">
        <f>2*B15</f>
        <v>460</v>
      </c>
      <c r="G22" s="23" t="s">
        <v>44</v>
      </c>
      <c r="J22" s="16"/>
      <c r="L22" s="12"/>
      <c r="M22" s="12"/>
    </row>
    <row r="23" spans="1:13" ht="19.5" customHeight="1">
      <c r="A23" s="22" t="s">
        <v>32</v>
      </c>
      <c r="B23" s="8">
        <f>IF((B14/F15)&lt;(45/(45+4)),B14/F15*100,eror)</f>
        <v>79.15753973588315</v>
      </c>
      <c r="C23" s="24" t="s">
        <v>43</v>
      </c>
      <c r="D23" s="21"/>
      <c r="E23" s="59" t="s">
        <v>62</v>
      </c>
      <c r="F23" s="9">
        <f>SQRT(B14/F7/3)*F22</f>
        <v>144.03158694958438</v>
      </c>
      <c r="G23" s="23" t="s">
        <v>45</v>
      </c>
      <c r="H23" s="63"/>
      <c r="J23" s="16"/>
      <c r="L23" s="12"/>
      <c r="M23" s="12"/>
    </row>
    <row r="24" spans="1:13" ht="19.5" customHeight="1">
      <c r="A24" s="59" t="s">
        <v>66</v>
      </c>
      <c r="B24" s="134">
        <v>1</v>
      </c>
      <c r="C24" s="24" t="s">
        <v>67</v>
      </c>
      <c r="D24" s="21"/>
      <c r="E24" s="59" t="s">
        <v>57</v>
      </c>
      <c r="F24" s="9">
        <f>F16</f>
        <v>374.7665940288702</v>
      </c>
      <c r="G24" s="20" t="s">
        <v>6</v>
      </c>
      <c r="J24" s="16"/>
      <c r="L24" s="12"/>
      <c r="M24" s="12"/>
    </row>
    <row r="25" spans="1:13" ht="19.5" customHeight="1">
      <c r="A25" s="59" t="s">
        <v>65</v>
      </c>
      <c r="B25" s="68">
        <f>MIN((1/F17/1000)*B24/(F22/1000/(F15-B14)+F22/1000/B14),(1/F17/1000)*B24/(F22/1000/(F15-B13)+F22/1000/B13))*1000</f>
        <v>0.37758080188617466</v>
      </c>
      <c r="C25" s="24" t="s">
        <v>13</v>
      </c>
      <c r="D25" s="21"/>
      <c r="E25" s="59" t="s">
        <v>60</v>
      </c>
      <c r="F25" s="9">
        <f>2*B15</f>
        <v>460</v>
      </c>
      <c r="G25" s="23" t="s">
        <v>45</v>
      </c>
      <c r="J25" s="16"/>
      <c r="L25" s="12"/>
      <c r="M25" s="12"/>
    </row>
    <row r="26" spans="1:13" ht="19.5" customHeight="1" thickBot="1">
      <c r="A26" s="70"/>
      <c r="B26" s="11"/>
      <c r="C26" s="26"/>
      <c r="D26" s="35"/>
      <c r="E26" s="62" t="s">
        <v>61</v>
      </c>
      <c r="F26" s="36">
        <f>SQRT((1-B13/F9)/3)*F25</f>
        <v>256.40278847373503</v>
      </c>
      <c r="G26" s="28" t="s">
        <v>45</v>
      </c>
      <c r="H26" s="63"/>
      <c r="J26" s="16"/>
      <c r="L26" s="12"/>
      <c r="M26" s="12"/>
    </row>
    <row r="27" spans="1:7" ht="9.75" customHeight="1" thickBot="1">
      <c r="A27" s="29"/>
      <c r="B27" s="1"/>
      <c r="C27" s="30"/>
      <c r="D27" s="31"/>
      <c r="E27" s="31"/>
      <c r="F27" s="1"/>
      <c r="G27" s="32"/>
    </row>
    <row r="28" spans="1:7" ht="19.5" customHeight="1">
      <c r="A28" s="140" t="s">
        <v>63</v>
      </c>
      <c r="B28" s="141"/>
      <c r="C28" s="141"/>
      <c r="D28" s="141"/>
      <c r="E28" s="141"/>
      <c r="F28" s="141"/>
      <c r="G28" s="142"/>
    </row>
    <row r="29" spans="1:7" ht="19.5" customHeight="1">
      <c r="A29" s="69" t="s">
        <v>64</v>
      </c>
      <c r="B29" s="54">
        <v>0.25</v>
      </c>
      <c r="C29" s="38" t="s">
        <v>35</v>
      </c>
      <c r="D29" s="165"/>
      <c r="E29" s="39" t="s">
        <v>46</v>
      </c>
      <c r="F29" s="56">
        <v>6</v>
      </c>
      <c r="G29" s="40" t="s">
        <v>47</v>
      </c>
    </row>
    <row r="30" spans="1:7" ht="19.5" customHeight="1">
      <c r="A30" s="69" t="s">
        <v>68</v>
      </c>
      <c r="B30" s="13" t="s">
        <v>203</v>
      </c>
      <c r="C30" s="38"/>
      <c r="D30" s="166"/>
      <c r="E30" s="71" t="s">
        <v>69</v>
      </c>
      <c r="F30" s="55">
        <v>0.114</v>
      </c>
      <c r="G30" s="40" t="s">
        <v>15</v>
      </c>
    </row>
    <row r="31" spans="1:7" ht="19.5" customHeight="1">
      <c r="A31" s="71" t="s">
        <v>72</v>
      </c>
      <c r="B31" s="75">
        <f>4*3.1415926/10000000*B25/1000*(F22/B24/1000)^2/(F30/10000)/(B29^2)*1000</f>
        <v>0.14091283606320473</v>
      </c>
      <c r="C31" s="38" t="s">
        <v>17</v>
      </c>
      <c r="D31" s="166"/>
      <c r="E31" s="73"/>
      <c r="F31" s="78"/>
      <c r="G31" s="74"/>
    </row>
    <row r="32" spans="1:13" ht="19.5" customHeight="1" thickBot="1">
      <c r="A32" s="71" t="s">
        <v>71</v>
      </c>
      <c r="B32" s="4">
        <f>SQRT((B25/1000)*(B31/1000)/(4*3.1415926/10000000)/(F30/10000))</f>
        <v>60.94286626934748</v>
      </c>
      <c r="C32" s="38" t="s">
        <v>16</v>
      </c>
      <c r="D32" s="167"/>
      <c r="E32" s="72" t="s">
        <v>70</v>
      </c>
      <c r="F32" s="5">
        <f>1.13*SQRT(B15/B24*0.001/F29)</f>
        <v>0.22124157234419875</v>
      </c>
      <c r="G32" s="43" t="s">
        <v>17</v>
      </c>
      <c r="I32" s="12"/>
      <c r="J32" s="12"/>
      <c r="L32" s="12"/>
      <c r="M32" s="12"/>
    </row>
    <row r="33" spans="1:7" ht="19.5" customHeight="1">
      <c r="A33" s="145" t="s">
        <v>73</v>
      </c>
      <c r="B33" s="146"/>
      <c r="C33" s="146"/>
      <c r="D33" s="146"/>
      <c r="E33" s="146"/>
      <c r="F33" s="146"/>
      <c r="G33" s="146"/>
    </row>
    <row r="34" spans="1:7" ht="19.5" customHeight="1">
      <c r="A34" s="81" t="s">
        <v>74</v>
      </c>
      <c r="B34" s="82">
        <v>6.8</v>
      </c>
      <c r="C34" s="83" t="s">
        <v>75</v>
      </c>
      <c r="D34" s="57"/>
      <c r="E34" s="46"/>
      <c r="F34" s="80"/>
      <c r="G34" s="47"/>
    </row>
    <row r="35" spans="1:7" ht="19.5" customHeight="1">
      <c r="A35" s="84" t="s">
        <v>76</v>
      </c>
      <c r="B35" s="85">
        <v>1.7</v>
      </c>
      <c r="C35" s="38" t="s">
        <v>75</v>
      </c>
      <c r="D35" s="58"/>
      <c r="E35" s="46"/>
      <c r="F35" s="80"/>
      <c r="G35" s="86"/>
    </row>
    <row r="36" spans="1:7" ht="19.5" customHeight="1">
      <c r="A36" s="143" t="s">
        <v>77</v>
      </c>
      <c r="B36" s="163"/>
      <c r="C36" s="164"/>
      <c r="D36" s="87"/>
      <c r="E36" s="88" t="s">
        <v>78</v>
      </c>
      <c r="F36" s="143" t="s">
        <v>79</v>
      </c>
      <c r="G36" s="144"/>
    </row>
    <row r="37" spans="1:7" ht="19.5" customHeight="1">
      <c r="A37" s="81" t="s">
        <v>82</v>
      </c>
      <c r="B37" s="89">
        <v>0.194</v>
      </c>
      <c r="C37" s="90" t="s">
        <v>75</v>
      </c>
      <c r="D37" s="79"/>
      <c r="E37" s="91">
        <f>ROUND(B32,0)/INT(B34/B37)</f>
        <v>1.7428571428571429</v>
      </c>
      <c r="F37" s="92">
        <f>CEILING(E37,1)*B37</f>
        <v>0.388</v>
      </c>
      <c r="G37" s="93" t="s">
        <v>75</v>
      </c>
    </row>
    <row r="38" spans="1:7" ht="19.5" customHeight="1">
      <c r="A38" s="84" t="s">
        <v>80</v>
      </c>
      <c r="B38" s="89">
        <v>0.1</v>
      </c>
      <c r="C38" s="38" t="s">
        <v>75</v>
      </c>
      <c r="D38" s="79"/>
      <c r="E38" s="91"/>
      <c r="F38" s="92"/>
      <c r="G38" s="40"/>
    </row>
    <row r="39" spans="1:7" ht="19.5" customHeight="1" thickBot="1">
      <c r="A39" s="94" t="s">
        <v>81</v>
      </c>
      <c r="B39" s="135">
        <f>IF((F37+B38)&lt;B35,(F37+B38),error)</f>
        <v>0.488</v>
      </c>
      <c r="C39" s="42" t="s">
        <v>75</v>
      </c>
      <c r="D39" s="95"/>
      <c r="E39" s="96"/>
      <c r="F39" s="5"/>
      <c r="G39" s="43"/>
    </row>
    <row r="40" spans="1:7" ht="9.75" customHeight="1" thickBot="1">
      <c r="A40" s="97"/>
      <c r="B40" s="98"/>
      <c r="C40" s="99"/>
      <c r="D40" s="100"/>
      <c r="E40" s="100"/>
      <c r="F40" s="98"/>
      <c r="G40" s="101"/>
    </row>
    <row r="41" spans="1:13" ht="19.5" customHeight="1">
      <c r="A41" s="186" t="s">
        <v>202</v>
      </c>
      <c r="B41" s="187"/>
      <c r="C41" s="187"/>
      <c r="D41" s="187"/>
      <c r="E41" s="187"/>
      <c r="F41" s="187"/>
      <c r="G41" s="188"/>
      <c r="I41" s="12"/>
      <c r="J41" s="12"/>
      <c r="L41" s="12"/>
      <c r="M41" s="12"/>
    </row>
    <row r="42" spans="1:13" ht="19.5" customHeight="1">
      <c r="A42" s="195"/>
      <c r="B42" s="196"/>
      <c r="C42" s="196"/>
      <c r="D42" s="196"/>
      <c r="E42" s="196"/>
      <c r="F42" s="196"/>
      <c r="G42" s="197"/>
      <c r="I42" s="12"/>
      <c r="J42" s="12"/>
      <c r="L42" s="12"/>
      <c r="M42" s="12"/>
    </row>
    <row r="43" spans="1:13" ht="19.5" customHeight="1">
      <c r="A43" s="198"/>
      <c r="B43" s="199"/>
      <c r="C43" s="199"/>
      <c r="D43" s="199"/>
      <c r="E43" s="199"/>
      <c r="F43" s="199"/>
      <c r="G43" s="200"/>
      <c r="I43" s="12"/>
      <c r="J43" s="12"/>
      <c r="L43" s="12"/>
      <c r="M43" s="12"/>
    </row>
    <row r="44" spans="1:13" ht="19.5" customHeight="1">
      <c r="A44" s="198"/>
      <c r="B44" s="199"/>
      <c r="C44" s="199"/>
      <c r="D44" s="199"/>
      <c r="E44" s="199"/>
      <c r="F44" s="199"/>
      <c r="G44" s="200"/>
      <c r="I44" s="12"/>
      <c r="J44" s="12"/>
      <c r="L44" s="12"/>
      <c r="M44" s="12"/>
    </row>
    <row r="45" spans="1:13" ht="19.5" customHeight="1">
      <c r="A45" s="198"/>
      <c r="B45" s="199"/>
      <c r="C45" s="199"/>
      <c r="D45" s="199"/>
      <c r="E45" s="199"/>
      <c r="F45" s="199"/>
      <c r="G45" s="200"/>
      <c r="I45" s="12"/>
      <c r="J45" s="12"/>
      <c r="L45" s="12"/>
      <c r="M45" s="12"/>
    </row>
    <row r="46" spans="1:13" ht="19.5" customHeight="1">
      <c r="A46" s="198"/>
      <c r="B46" s="199"/>
      <c r="C46" s="199"/>
      <c r="D46" s="199"/>
      <c r="E46" s="199"/>
      <c r="F46" s="199"/>
      <c r="G46" s="200"/>
      <c r="I46" s="12"/>
      <c r="J46" s="12"/>
      <c r="L46" s="12"/>
      <c r="M46" s="12"/>
    </row>
    <row r="47" spans="1:13" ht="19.5" customHeight="1">
      <c r="A47" s="198"/>
      <c r="B47" s="199"/>
      <c r="C47" s="199"/>
      <c r="D47" s="199"/>
      <c r="E47" s="199"/>
      <c r="F47" s="199"/>
      <c r="G47" s="200"/>
      <c r="I47" s="12"/>
      <c r="J47" s="12"/>
      <c r="L47" s="12"/>
      <c r="M47" s="12"/>
    </row>
    <row r="48" spans="1:13" ht="19.5" customHeight="1">
      <c r="A48" s="198"/>
      <c r="B48" s="199"/>
      <c r="C48" s="199"/>
      <c r="D48" s="199"/>
      <c r="E48" s="199"/>
      <c r="F48" s="199"/>
      <c r="G48" s="200"/>
      <c r="I48"/>
      <c r="J48" s="12"/>
      <c r="L48" s="12"/>
      <c r="M48" s="12"/>
    </row>
    <row r="49" spans="1:13" ht="19.5" customHeight="1">
      <c r="A49" s="198"/>
      <c r="B49" s="199"/>
      <c r="C49" s="199"/>
      <c r="D49" s="199"/>
      <c r="E49" s="199"/>
      <c r="F49" s="199"/>
      <c r="G49" s="200"/>
      <c r="I49" s="12"/>
      <c r="J49" s="12"/>
      <c r="L49" s="12"/>
      <c r="M49" s="12"/>
    </row>
    <row r="50" spans="1:13" ht="19.5" customHeight="1">
      <c r="A50" s="198"/>
      <c r="B50" s="199"/>
      <c r="C50" s="199"/>
      <c r="D50" s="199"/>
      <c r="E50" s="199"/>
      <c r="F50" s="199"/>
      <c r="G50" s="200"/>
      <c r="I50" s="12"/>
      <c r="J50" s="12"/>
      <c r="L50" s="12"/>
      <c r="M50" s="12"/>
    </row>
    <row r="51" spans="1:13" ht="19.5" customHeight="1">
      <c r="A51" s="198"/>
      <c r="B51" s="199"/>
      <c r="C51" s="199"/>
      <c r="D51" s="199"/>
      <c r="E51" s="199"/>
      <c r="F51" s="199"/>
      <c r="G51" s="200"/>
      <c r="I51" s="12"/>
      <c r="J51" s="12"/>
      <c r="L51" s="12"/>
      <c r="M51" s="12"/>
    </row>
    <row r="52" spans="1:13" ht="78" customHeight="1">
      <c r="A52" s="201"/>
      <c r="B52" s="202"/>
      <c r="C52" s="202"/>
      <c r="D52" s="202"/>
      <c r="E52" s="202"/>
      <c r="F52" s="202"/>
      <c r="G52" s="203"/>
      <c r="I52" s="12"/>
      <c r="J52" s="12"/>
      <c r="L52" s="12"/>
      <c r="M52" s="12"/>
    </row>
    <row r="53" spans="1:13" ht="9.75" customHeight="1" thickBot="1">
      <c r="A53" s="44"/>
      <c r="B53" s="6"/>
      <c r="C53" s="45"/>
      <c r="D53" s="46"/>
      <c r="E53" s="46"/>
      <c r="F53" s="6"/>
      <c r="G53" s="47"/>
      <c r="I53" s="12"/>
      <c r="J53" s="12"/>
      <c r="L53" s="12"/>
      <c r="M53" s="12"/>
    </row>
    <row r="54" spans="1:13" ht="20.25" customHeight="1">
      <c r="A54" s="206" t="s">
        <v>19</v>
      </c>
      <c r="B54" s="141"/>
      <c r="C54" s="141"/>
      <c r="D54" s="141"/>
      <c r="E54" s="141"/>
      <c r="F54" s="141"/>
      <c r="G54" s="142"/>
      <c r="I54" s="12"/>
      <c r="J54" s="12"/>
      <c r="L54" s="12"/>
      <c r="M54" s="12"/>
    </row>
    <row r="55" spans="1:13" ht="20.25" customHeight="1">
      <c r="A55" s="37" t="s">
        <v>20</v>
      </c>
      <c r="B55" s="3">
        <f>0.4/F22*1000</f>
        <v>0.8695652173913044</v>
      </c>
      <c r="C55" s="48" t="s">
        <v>21</v>
      </c>
      <c r="D55" s="204" t="s">
        <v>22</v>
      </c>
      <c r="E55" s="204"/>
      <c r="F55" s="204"/>
      <c r="G55" s="205"/>
      <c r="I55" s="12"/>
      <c r="J55" s="12"/>
      <c r="L55" s="12"/>
      <c r="M55" s="12"/>
    </row>
    <row r="56" spans="1:13" ht="20.25" customHeight="1">
      <c r="A56" s="37" t="s">
        <v>27</v>
      </c>
      <c r="B56" s="3">
        <f>F23/1000*F23/1000*B55</f>
        <v>0.01803921568627451</v>
      </c>
      <c r="C56" s="38" t="s">
        <v>23</v>
      </c>
      <c r="D56" s="192"/>
      <c r="E56" s="193"/>
      <c r="F56" s="193"/>
      <c r="G56" s="194"/>
      <c r="I56" s="12"/>
      <c r="J56" s="12"/>
      <c r="L56" s="12"/>
      <c r="M56" s="12"/>
    </row>
    <row r="57" spans="1:13" ht="20.25" customHeight="1">
      <c r="A57" s="191" t="s">
        <v>18</v>
      </c>
      <c r="B57" s="148"/>
      <c r="C57" s="148"/>
      <c r="D57" s="148"/>
      <c r="E57" s="148"/>
      <c r="F57" s="148"/>
      <c r="G57" s="149"/>
      <c r="I57" s="12"/>
      <c r="J57" s="12"/>
      <c r="L57" s="12"/>
      <c r="M57" s="12"/>
    </row>
    <row r="58" spans="1:13" ht="20.25" customHeight="1">
      <c r="A58" s="37" t="s">
        <v>24</v>
      </c>
      <c r="B58" s="3">
        <f>F15/200</f>
        <v>0.1579129422378142</v>
      </c>
      <c r="C58" s="38" t="s">
        <v>25</v>
      </c>
      <c r="D58" s="165"/>
      <c r="E58" s="39" t="s">
        <v>26</v>
      </c>
      <c r="F58" s="54">
        <v>0.5</v>
      </c>
      <c r="G58" s="40" t="s">
        <v>25</v>
      </c>
      <c r="I58" s="12"/>
      <c r="J58" s="12"/>
      <c r="L58" s="12"/>
      <c r="M58" s="12"/>
    </row>
    <row r="59" spans="1:13" ht="20.25" customHeight="1" thickBot="1">
      <c r="A59" s="41" t="s">
        <v>28</v>
      </c>
      <c r="B59" s="5">
        <f>(200/1000000)*(200/1000000)*F58*1000000</f>
        <v>0.02</v>
      </c>
      <c r="C59" s="42" t="s">
        <v>23</v>
      </c>
      <c r="D59" s="167"/>
      <c r="E59" s="189" t="s">
        <v>29</v>
      </c>
      <c r="F59" s="189"/>
      <c r="G59" s="190"/>
      <c r="I59" s="12"/>
      <c r="J59" s="12"/>
      <c r="L59" s="12"/>
      <c r="M59" s="12"/>
    </row>
    <row r="60" spans="1:7" ht="19.5" customHeight="1">
      <c r="A60" s="147" t="s">
        <v>194</v>
      </c>
      <c r="B60" s="148"/>
      <c r="C60" s="148"/>
      <c r="D60" s="148"/>
      <c r="E60" s="148"/>
      <c r="F60" s="148"/>
      <c r="G60" s="149"/>
    </row>
    <row r="61" spans="1:7" ht="19.5" customHeight="1">
      <c r="A61" s="138" t="s">
        <v>195</v>
      </c>
      <c r="B61" s="89">
        <v>150</v>
      </c>
      <c r="C61" s="38" t="s">
        <v>199</v>
      </c>
      <c r="D61" s="177"/>
      <c r="E61" s="178"/>
      <c r="F61" s="178"/>
      <c r="G61" s="179"/>
    </row>
    <row r="62" spans="1:7" ht="19.5" customHeight="1">
      <c r="A62" s="138" t="s">
        <v>198</v>
      </c>
      <c r="B62" s="3">
        <f>B61/15</f>
        <v>10</v>
      </c>
      <c r="C62" s="38" t="s">
        <v>200</v>
      </c>
      <c r="D62" s="180"/>
      <c r="E62" s="181"/>
      <c r="F62" s="181"/>
      <c r="G62" s="182"/>
    </row>
    <row r="63" spans="1:7" ht="19.5" customHeight="1" thickBot="1">
      <c r="A63" s="139" t="s">
        <v>196</v>
      </c>
      <c r="B63" s="5">
        <f>B25*F22/B62</f>
        <v>17.368716886764034</v>
      </c>
      <c r="C63" s="42" t="s">
        <v>197</v>
      </c>
      <c r="D63" s="183"/>
      <c r="E63" s="184"/>
      <c r="F63" s="184"/>
      <c r="G63" s="185"/>
    </row>
  </sheetData>
  <sheetProtection password="CB53" sheet="1"/>
  <mergeCells count="23">
    <mergeCell ref="A42:G52"/>
    <mergeCell ref="D55:G55"/>
    <mergeCell ref="A54:G54"/>
    <mergeCell ref="D29:D32"/>
    <mergeCell ref="A3:G3"/>
    <mergeCell ref="A4:G4"/>
    <mergeCell ref="A20:G20"/>
    <mergeCell ref="D61:G63"/>
    <mergeCell ref="D58:D59"/>
    <mergeCell ref="A41:G41"/>
    <mergeCell ref="E59:G59"/>
    <mergeCell ref="A57:G57"/>
    <mergeCell ref="D56:G56"/>
    <mergeCell ref="A28:G28"/>
    <mergeCell ref="F36:G36"/>
    <mergeCell ref="A33:G33"/>
    <mergeCell ref="A60:G60"/>
    <mergeCell ref="A1:G1"/>
    <mergeCell ref="A2:G2"/>
    <mergeCell ref="A5:G5"/>
    <mergeCell ref="A6:C6"/>
    <mergeCell ref="E6:G6"/>
    <mergeCell ref="A36:C36"/>
  </mergeCells>
  <printOptions/>
  <pageMargins left="0.1968503937007874" right="0.1968503937007874" top="0.7480314960629921" bottom="0.7480314960629921" header="0.31496062992125984" footer="0.31496062992125984"/>
  <pageSetup horizontalDpi="200" verticalDpi="200" orientation="portrait" paperSize="9" r:id="rId4"/>
  <ignoredErrors>
    <ignoredError sqref="F16" unlockedFormula="1"/>
  </ignoredErrors>
  <legacyDrawing r:id="rId3"/>
  <oleObjects>
    <oleObject progId="Visio.Drawing.11" shapeId="773101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ySplit="1" topLeftCell="A2" activePane="bottomLeft" state="frozen"/>
      <selection pane="topLeft" activeCell="A1" sqref="A1:IV16384"/>
      <selection pane="bottomLeft" activeCell="C3" sqref="C3:D3"/>
    </sheetView>
  </sheetViews>
  <sheetFormatPr defaultColWidth="9.00390625" defaultRowHeight="13.5"/>
  <cols>
    <col min="1" max="1" width="8.75390625" style="106" customWidth="1"/>
    <col min="2" max="2" width="9.00390625" style="106" customWidth="1"/>
    <col min="3" max="3" width="9.75390625" style="107" customWidth="1"/>
    <col min="4" max="4" width="9.00390625" style="106" customWidth="1"/>
    <col min="5" max="5" width="9.50390625" style="106" customWidth="1"/>
    <col min="6" max="12" width="9.00390625" style="106" customWidth="1"/>
    <col min="13" max="13" width="7.875" style="106" customWidth="1"/>
    <col min="14" max="16384" width="9.00390625" style="106" customWidth="1"/>
  </cols>
  <sheetData>
    <row r="1" spans="1:12" ht="18.75">
      <c r="A1" s="102" t="s">
        <v>83</v>
      </c>
      <c r="B1" s="103"/>
      <c r="C1" s="104"/>
      <c r="D1" s="105"/>
      <c r="E1" s="105"/>
      <c r="F1" s="105"/>
      <c r="G1" s="105"/>
      <c r="H1" s="105"/>
      <c r="I1" s="105"/>
      <c r="J1" s="105"/>
      <c r="K1" s="105"/>
      <c r="L1" s="105"/>
    </row>
    <row r="2" spans="2:3" ht="14.25" thickBot="1">
      <c r="B2" s="107"/>
      <c r="C2" s="106"/>
    </row>
    <row r="3" spans="1:12" s="107" customFormat="1" ht="13.5">
      <c r="A3" s="207" t="s">
        <v>84</v>
      </c>
      <c r="B3" s="208"/>
      <c r="C3" s="209" t="s">
        <v>84</v>
      </c>
      <c r="D3" s="210"/>
      <c r="E3" s="207" t="s">
        <v>84</v>
      </c>
      <c r="F3" s="208"/>
      <c r="G3" s="209" t="s">
        <v>84</v>
      </c>
      <c r="H3" s="210"/>
      <c r="I3" s="108" t="s">
        <v>84</v>
      </c>
      <c r="J3" s="109"/>
      <c r="K3" s="209" t="s">
        <v>84</v>
      </c>
      <c r="L3" s="210"/>
    </row>
    <row r="4" spans="1:12" s="107" customFormat="1" ht="15.75">
      <c r="A4" s="110" t="s">
        <v>85</v>
      </c>
      <c r="B4" s="111" t="s">
        <v>86</v>
      </c>
      <c r="C4" s="112" t="s">
        <v>85</v>
      </c>
      <c r="D4" s="113" t="s">
        <v>86</v>
      </c>
      <c r="E4" s="110" t="s">
        <v>85</v>
      </c>
      <c r="F4" s="111" t="s">
        <v>86</v>
      </c>
      <c r="G4" s="112" t="s">
        <v>85</v>
      </c>
      <c r="H4" s="113" t="s">
        <v>86</v>
      </c>
      <c r="I4" s="110" t="s">
        <v>85</v>
      </c>
      <c r="J4" s="111" t="s">
        <v>86</v>
      </c>
      <c r="K4" s="112" t="s">
        <v>85</v>
      </c>
      <c r="L4" s="113" t="s">
        <v>86</v>
      </c>
    </row>
    <row r="5" spans="1:12" s="107" customFormat="1" ht="13.5">
      <c r="A5" s="110" t="s">
        <v>87</v>
      </c>
      <c r="B5" s="111" t="s">
        <v>88</v>
      </c>
      <c r="C5" s="112" t="s">
        <v>89</v>
      </c>
      <c r="D5" s="113" t="s">
        <v>90</v>
      </c>
      <c r="E5" s="110"/>
      <c r="F5" s="111"/>
      <c r="G5" s="112"/>
      <c r="H5" s="113"/>
      <c r="I5" s="110"/>
      <c r="J5" s="111"/>
      <c r="K5" s="112"/>
      <c r="L5" s="113"/>
    </row>
    <row r="6" spans="1:12" s="107" customFormat="1" ht="13.5">
      <c r="A6" s="110" t="s">
        <v>87</v>
      </c>
      <c r="B6" s="111" t="s">
        <v>88</v>
      </c>
      <c r="C6" s="112" t="s">
        <v>91</v>
      </c>
      <c r="D6" s="113" t="s">
        <v>92</v>
      </c>
      <c r="E6" s="110"/>
      <c r="F6" s="111"/>
      <c r="G6" s="112"/>
      <c r="H6" s="113"/>
      <c r="I6" s="110"/>
      <c r="J6" s="111"/>
      <c r="K6" s="112"/>
      <c r="L6" s="113"/>
    </row>
    <row r="7" spans="1:12" s="107" customFormat="1" ht="13.5">
      <c r="A7" s="110" t="s">
        <v>93</v>
      </c>
      <c r="B7" s="111" t="s">
        <v>94</v>
      </c>
      <c r="C7" s="112" t="s">
        <v>95</v>
      </c>
      <c r="D7" s="113" t="s">
        <v>96</v>
      </c>
      <c r="E7" s="110" t="s">
        <v>97</v>
      </c>
      <c r="F7" s="111" t="s">
        <v>98</v>
      </c>
      <c r="G7" s="112"/>
      <c r="H7" s="113"/>
      <c r="I7" s="110"/>
      <c r="J7" s="111"/>
      <c r="K7" s="112"/>
      <c r="L7" s="113"/>
    </row>
    <row r="8" spans="1:12" s="107" customFormat="1" ht="13.5">
      <c r="A8" s="110" t="s">
        <v>93</v>
      </c>
      <c r="B8" s="111" t="s">
        <v>94</v>
      </c>
      <c r="C8" s="112" t="s">
        <v>95</v>
      </c>
      <c r="D8" s="113" t="s">
        <v>96</v>
      </c>
      <c r="E8" s="110" t="s">
        <v>97</v>
      </c>
      <c r="F8" s="111" t="s">
        <v>98</v>
      </c>
      <c r="G8" s="112"/>
      <c r="H8" s="113"/>
      <c r="I8" s="110"/>
      <c r="J8" s="111"/>
      <c r="K8" s="112"/>
      <c r="L8" s="113"/>
    </row>
    <row r="9" spans="1:12" s="107" customFormat="1" ht="13.5">
      <c r="A9" s="110" t="s">
        <v>99</v>
      </c>
      <c r="B9" s="111" t="s">
        <v>100</v>
      </c>
      <c r="C9" s="112" t="s">
        <v>101</v>
      </c>
      <c r="D9" s="113" t="s">
        <v>102</v>
      </c>
      <c r="E9" s="110" t="s">
        <v>97</v>
      </c>
      <c r="F9" s="111" t="s">
        <v>98</v>
      </c>
      <c r="G9" s="112"/>
      <c r="H9" s="113"/>
      <c r="I9" s="110"/>
      <c r="J9" s="111"/>
      <c r="K9" s="112"/>
      <c r="L9" s="113"/>
    </row>
    <row r="10" spans="1:12" s="107" customFormat="1" ht="13.5">
      <c r="A10" s="110" t="s">
        <v>99</v>
      </c>
      <c r="B10" s="111" t="s">
        <v>100</v>
      </c>
      <c r="C10" s="112" t="s">
        <v>101</v>
      </c>
      <c r="D10" s="113" t="s">
        <v>102</v>
      </c>
      <c r="E10" s="110" t="s">
        <v>103</v>
      </c>
      <c r="F10" s="111" t="s">
        <v>104</v>
      </c>
      <c r="G10" s="112"/>
      <c r="H10" s="113"/>
      <c r="I10" s="110"/>
      <c r="J10" s="111"/>
      <c r="K10" s="112"/>
      <c r="L10" s="113"/>
    </row>
    <row r="11" spans="1:12" s="107" customFormat="1" ht="13.5">
      <c r="A11" s="110" t="s">
        <v>99</v>
      </c>
      <c r="B11" s="111" t="s">
        <v>100</v>
      </c>
      <c r="C11" s="112" t="s">
        <v>101</v>
      </c>
      <c r="D11" s="113" t="s">
        <v>102</v>
      </c>
      <c r="E11" s="110" t="s">
        <v>103</v>
      </c>
      <c r="F11" s="111" t="s">
        <v>104</v>
      </c>
      <c r="G11" s="112"/>
      <c r="H11" s="113"/>
      <c r="I11" s="110"/>
      <c r="J11" s="111"/>
      <c r="K11" s="112"/>
      <c r="L11" s="113"/>
    </row>
    <row r="12" spans="1:12" s="107" customFormat="1" ht="13.5">
      <c r="A12" s="110" t="s">
        <v>105</v>
      </c>
      <c r="B12" s="111" t="s">
        <v>106</v>
      </c>
      <c r="C12" s="112" t="s">
        <v>107</v>
      </c>
      <c r="D12" s="113" t="s">
        <v>106</v>
      </c>
      <c r="E12" s="110" t="s">
        <v>108</v>
      </c>
      <c r="F12" s="111" t="s">
        <v>109</v>
      </c>
      <c r="G12" s="112" t="s">
        <v>110</v>
      </c>
      <c r="H12" s="113" t="s">
        <v>111</v>
      </c>
      <c r="I12" s="110" t="s">
        <v>112</v>
      </c>
      <c r="J12" s="111" t="s">
        <v>113</v>
      </c>
      <c r="K12" s="112"/>
      <c r="L12" s="113"/>
    </row>
    <row r="13" spans="1:12" s="107" customFormat="1" ht="13.5">
      <c r="A13" s="110" t="s">
        <v>105</v>
      </c>
      <c r="B13" s="111" t="s">
        <v>106</v>
      </c>
      <c r="C13" s="112" t="s">
        <v>114</v>
      </c>
      <c r="D13" s="113" t="s">
        <v>106</v>
      </c>
      <c r="E13" s="110" t="s">
        <v>108</v>
      </c>
      <c r="F13" s="111" t="s">
        <v>109</v>
      </c>
      <c r="G13" s="112" t="s">
        <v>110</v>
      </c>
      <c r="H13" s="113" t="s">
        <v>111</v>
      </c>
      <c r="I13" s="110" t="s">
        <v>112</v>
      </c>
      <c r="J13" s="111" t="s">
        <v>113</v>
      </c>
      <c r="K13" s="112"/>
      <c r="L13" s="113"/>
    </row>
    <row r="14" spans="1:12" s="107" customFormat="1" ht="13.5">
      <c r="A14" s="110" t="s">
        <v>115</v>
      </c>
      <c r="B14" s="111" t="s">
        <v>116</v>
      </c>
      <c r="C14" s="112" t="s">
        <v>117</v>
      </c>
      <c r="D14" s="113" t="s">
        <v>118</v>
      </c>
      <c r="E14" s="110" t="s">
        <v>108</v>
      </c>
      <c r="F14" s="111" t="s">
        <v>109</v>
      </c>
      <c r="G14" s="112" t="s">
        <v>110</v>
      </c>
      <c r="H14" s="113" t="s">
        <v>111</v>
      </c>
      <c r="I14" s="110" t="s">
        <v>119</v>
      </c>
      <c r="J14" s="111" t="s">
        <v>120</v>
      </c>
      <c r="K14" s="112" t="s">
        <v>121</v>
      </c>
      <c r="L14" s="113" t="s">
        <v>122</v>
      </c>
    </row>
    <row r="15" spans="1:12" s="107" customFormat="1" ht="13.5">
      <c r="A15" s="110" t="s">
        <v>123</v>
      </c>
      <c r="B15" s="111" t="s">
        <v>124</v>
      </c>
      <c r="C15" s="112" t="s">
        <v>117</v>
      </c>
      <c r="D15" s="113" t="s">
        <v>118</v>
      </c>
      <c r="E15" s="110" t="s">
        <v>125</v>
      </c>
      <c r="F15" s="111" t="s">
        <v>126</v>
      </c>
      <c r="G15" s="112" t="s">
        <v>127</v>
      </c>
      <c r="H15" s="113" t="s">
        <v>111</v>
      </c>
      <c r="I15" s="110" t="s">
        <v>119</v>
      </c>
      <c r="J15" s="111" t="s">
        <v>120</v>
      </c>
      <c r="K15" s="112" t="s">
        <v>121</v>
      </c>
      <c r="L15" s="113" t="s">
        <v>122</v>
      </c>
    </row>
    <row r="16" spans="1:12" s="107" customFormat="1" ht="13.5">
      <c r="A16" s="110" t="s">
        <v>123</v>
      </c>
      <c r="B16" s="111" t="s">
        <v>124</v>
      </c>
      <c r="C16" s="112" t="s">
        <v>128</v>
      </c>
      <c r="D16" s="113" t="s">
        <v>118</v>
      </c>
      <c r="E16" s="110" t="s">
        <v>125</v>
      </c>
      <c r="F16" s="111" t="s">
        <v>126</v>
      </c>
      <c r="G16" s="112" t="s">
        <v>127</v>
      </c>
      <c r="H16" s="113" t="s">
        <v>111</v>
      </c>
      <c r="I16" s="110" t="s">
        <v>129</v>
      </c>
      <c r="J16" s="111" t="s">
        <v>120</v>
      </c>
      <c r="K16" s="112" t="s">
        <v>121</v>
      </c>
      <c r="L16" s="113" t="s">
        <v>122</v>
      </c>
    </row>
    <row r="17" spans="1:12" s="107" customFormat="1" ht="13.5">
      <c r="A17" s="110"/>
      <c r="B17" s="111"/>
      <c r="C17" s="112"/>
      <c r="D17" s="113"/>
      <c r="E17" s="110" t="s">
        <v>125</v>
      </c>
      <c r="F17" s="111" t="s">
        <v>126</v>
      </c>
      <c r="G17" s="112" t="s">
        <v>130</v>
      </c>
      <c r="H17" s="113" t="s">
        <v>131</v>
      </c>
      <c r="I17" s="110" t="s">
        <v>132</v>
      </c>
      <c r="J17" s="111" t="s">
        <v>133</v>
      </c>
      <c r="K17" s="112" t="s">
        <v>132</v>
      </c>
      <c r="L17" s="113" t="s">
        <v>133</v>
      </c>
    </row>
    <row r="18" spans="1:12" s="107" customFormat="1" ht="14.25" thickBot="1">
      <c r="A18" s="114"/>
      <c r="B18" s="115"/>
      <c r="C18" s="116"/>
      <c r="D18" s="117"/>
      <c r="E18" s="114" t="s">
        <v>125</v>
      </c>
      <c r="F18" s="115" t="s">
        <v>126</v>
      </c>
      <c r="G18" s="116" t="s">
        <v>130</v>
      </c>
      <c r="H18" s="117" t="s">
        <v>131</v>
      </c>
      <c r="I18" s="114" t="s">
        <v>134</v>
      </c>
      <c r="J18" s="115" t="s">
        <v>135</v>
      </c>
      <c r="K18" s="116" t="s">
        <v>134</v>
      </c>
      <c r="L18" s="117" t="s">
        <v>135</v>
      </c>
    </row>
    <row r="19" spans="2:3" ht="13.5">
      <c r="B19" s="107"/>
      <c r="C19" s="106"/>
    </row>
    <row r="21" spans="1:4" s="107" customFormat="1" ht="15.75">
      <c r="A21" s="118" t="s">
        <v>85</v>
      </c>
      <c r="B21" s="118" t="s">
        <v>86</v>
      </c>
      <c r="C21" s="118" t="s">
        <v>136</v>
      </c>
      <c r="D21" s="118" t="s">
        <v>137</v>
      </c>
    </row>
    <row r="22" spans="1:5" ht="13.5">
      <c r="A22" s="118" t="s">
        <v>89</v>
      </c>
      <c r="B22" s="118" t="s">
        <v>90</v>
      </c>
      <c r="C22" s="118" t="s">
        <v>138</v>
      </c>
      <c r="D22" s="118" t="s">
        <v>139</v>
      </c>
      <c r="E22" s="107"/>
    </row>
    <row r="23" spans="1:5" ht="13.5">
      <c r="A23" s="118" t="s">
        <v>101</v>
      </c>
      <c r="B23" s="118" t="s">
        <v>102</v>
      </c>
      <c r="C23" s="118" t="s">
        <v>140</v>
      </c>
      <c r="D23" s="118" t="s">
        <v>141</v>
      </c>
      <c r="E23" s="107"/>
    </row>
    <row r="24" spans="1:5" ht="13.5">
      <c r="A24" s="118" t="s">
        <v>93</v>
      </c>
      <c r="B24" s="118" t="s">
        <v>94</v>
      </c>
      <c r="C24" s="118" t="s">
        <v>142</v>
      </c>
      <c r="D24" s="118" t="s">
        <v>143</v>
      </c>
      <c r="E24" s="107"/>
    </row>
    <row r="25" spans="1:5" ht="13.5" customHeight="1">
      <c r="A25" s="118" t="s">
        <v>99</v>
      </c>
      <c r="B25" s="118" t="s">
        <v>100</v>
      </c>
      <c r="C25" s="118" t="s">
        <v>144</v>
      </c>
      <c r="D25" s="118" t="s">
        <v>145</v>
      </c>
      <c r="E25" s="107"/>
    </row>
    <row r="26" spans="1:5" ht="13.5">
      <c r="A26" s="118" t="s">
        <v>115</v>
      </c>
      <c r="B26" s="118" t="s">
        <v>116</v>
      </c>
      <c r="C26" s="118" t="s">
        <v>146</v>
      </c>
      <c r="D26" s="118" t="s">
        <v>147</v>
      </c>
      <c r="E26" s="107"/>
    </row>
    <row r="27" spans="1:5" ht="13.5">
      <c r="A27" s="118" t="s">
        <v>123</v>
      </c>
      <c r="B27" s="118" t="s">
        <v>124</v>
      </c>
      <c r="C27" s="118" t="s">
        <v>148</v>
      </c>
      <c r="D27" s="118" t="s">
        <v>149</v>
      </c>
      <c r="E27" s="107"/>
    </row>
    <row r="28" spans="1:5" ht="13.5">
      <c r="A28" s="118" t="s">
        <v>108</v>
      </c>
      <c r="B28" s="118" t="s">
        <v>109</v>
      </c>
      <c r="C28" s="118" t="s">
        <v>150</v>
      </c>
      <c r="D28" s="118" t="s">
        <v>151</v>
      </c>
      <c r="E28" s="107"/>
    </row>
    <row r="29" spans="1:5" ht="13.5">
      <c r="A29" s="118" t="s">
        <v>125</v>
      </c>
      <c r="B29" s="118" t="s">
        <v>126</v>
      </c>
      <c r="C29" s="118" t="s">
        <v>152</v>
      </c>
      <c r="D29" s="118" t="s">
        <v>153</v>
      </c>
      <c r="E29" s="107"/>
    </row>
    <row r="30" spans="1:5" ht="13.5">
      <c r="A30" s="118" t="s">
        <v>97</v>
      </c>
      <c r="B30" s="118" t="s">
        <v>98</v>
      </c>
      <c r="C30" s="118" t="s">
        <v>154</v>
      </c>
      <c r="D30" s="118" t="s">
        <v>155</v>
      </c>
      <c r="E30" s="107"/>
    </row>
    <row r="31" spans="1:5" ht="13.5">
      <c r="A31" s="118" t="s">
        <v>103</v>
      </c>
      <c r="B31" s="118" t="s">
        <v>104</v>
      </c>
      <c r="C31" s="118" t="s">
        <v>156</v>
      </c>
      <c r="D31" s="118" t="s">
        <v>157</v>
      </c>
      <c r="E31" s="107"/>
    </row>
    <row r="32" spans="1:5" ht="13.5">
      <c r="A32" s="118" t="s">
        <v>112</v>
      </c>
      <c r="B32" s="118" t="s">
        <v>113</v>
      </c>
      <c r="C32" s="118" t="s">
        <v>158</v>
      </c>
      <c r="D32" s="118" t="s">
        <v>159</v>
      </c>
      <c r="E32" s="107"/>
    </row>
    <row r="33" spans="1:5" ht="13.5">
      <c r="A33" s="118" t="s">
        <v>110</v>
      </c>
      <c r="B33" s="118" t="s">
        <v>160</v>
      </c>
      <c r="C33" s="118" t="s">
        <v>161</v>
      </c>
      <c r="D33" s="118" t="s">
        <v>162</v>
      </c>
      <c r="E33" s="107"/>
    </row>
    <row r="34" spans="1:5" ht="13.5">
      <c r="A34" s="118" t="s">
        <v>127</v>
      </c>
      <c r="B34" s="118" t="s">
        <v>160</v>
      </c>
      <c r="C34" s="118" t="s">
        <v>161</v>
      </c>
      <c r="D34" s="118" t="s">
        <v>163</v>
      </c>
      <c r="E34" s="107"/>
    </row>
    <row r="35" spans="1:5" ht="13.5">
      <c r="A35" s="118" t="s">
        <v>130</v>
      </c>
      <c r="B35" s="118" t="s">
        <v>164</v>
      </c>
      <c r="C35" s="118" t="s">
        <v>165</v>
      </c>
      <c r="D35" s="118" t="s">
        <v>157</v>
      </c>
      <c r="E35" s="107"/>
    </row>
    <row r="36" spans="1:5" ht="13.5">
      <c r="A36" s="118" t="s">
        <v>166</v>
      </c>
      <c r="B36" s="118" t="s">
        <v>167</v>
      </c>
      <c r="C36" s="118" t="s">
        <v>165</v>
      </c>
      <c r="D36" s="118" t="s">
        <v>168</v>
      </c>
      <c r="E36" s="107"/>
    </row>
    <row r="37" spans="1:5" ht="13.5">
      <c r="A37" s="118" t="s">
        <v>119</v>
      </c>
      <c r="B37" s="118" t="s">
        <v>120</v>
      </c>
      <c r="C37" s="118" t="s">
        <v>169</v>
      </c>
      <c r="D37" s="118" t="s">
        <v>170</v>
      </c>
      <c r="E37" s="107"/>
    </row>
    <row r="38" spans="1:4" ht="13.5">
      <c r="A38" s="119" t="s">
        <v>121</v>
      </c>
      <c r="B38" s="118" t="s">
        <v>171</v>
      </c>
      <c r="C38" s="118" t="s">
        <v>172</v>
      </c>
      <c r="D38" s="118" t="s">
        <v>173</v>
      </c>
    </row>
    <row r="39" spans="1:4" ht="13.5">
      <c r="A39" s="119" t="s">
        <v>132</v>
      </c>
      <c r="B39" s="118" t="s">
        <v>133</v>
      </c>
      <c r="C39" s="118" t="s">
        <v>174</v>
      </c>
      <c r="D39" s="118" t="s">
        <v>145</v>
      </c>
    </row>
    <row r="40" spans="1:4" ht="13.5">
      <c r="A40" s="119" t="s">
        <v>134</v>
      </c>
      <c r="B40" s="118" t="s">
        <v>135</v>
      </c>
      <c r="C40" s="118" t="s">
        <v>174</v>
      </c>
      <c r="D40" s="118" t="s">
        <v>145</v>
      </c>
    </row>
  </sheetData>
  <sheetProtection/>
  <mergeCells count="5">
    <mergeCell ref="A3:B3"/>
    <mergeCell ref="C3:D3"/>
    <mergeCell ref="E3:F3"/>
    <mergeCell ref="G3:H3"/>
    <mergeCell ref="K3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D28" sqref="D28"/>
    </sheetView>
  </sheetViews>
  <sheetFormatPr defaultColWidth="9.00390625" defaultRowHeight="13.5"/>
  <cols>
    <col min="5" max="5" width="14.00390625" style="0" customWidth="1"/>
  </cols>
  <sheetData>
    <row r="1" spans="1:9" ht="15">
      <c r="A1" s="120" t="s">
        <v>175</v>
      </c>
      <c r="B1" s="120" t="s">
        <v>176</v>
      </c>
      <c r="C1" s="120" t="s">
        <v>177</v>
      </c>
      <c r="D1" s="120" t="s">
        <v>178</v>
      </c>
      <c r="E1" s="121" t="s">
        <v>179</v>
      </c>
      <c r="F1" s="211" t="s">
        <v>180</v>
      </c>
      <c r="G1" s="212"/>
      <c r="H1" s="212"/>
      <c r="I1" s="122" t="s">
        <v>181</v>
      </c>
    </row>
    <row r="2" spans="1:9" ht="14.25" thickBot="1">
      <c r="A2" s="123" t="s">
        <v>182</v>
      </c>
      <c r="B2" s="123" t="s">
        <v>183</v>
      </c>
      <c r="C2" s="123" t="s">
        <v>184</v>
      </c>
      <c r="D2" s="124" t="s">
        <v>185</v>
      </c>
      <c r="E2" s="123" t="s">
        <v>186</v>
      </c>
      <c r="F2" s="123" t="s">
        <v>187</v>
      </c>
      <c r="G2" s="123" t="s">
        <v>188</v>
      </c>
      <c r="H2" s="123" t="s">
        <v>189</v>
      </c>
      <c r="I2" s="125" t="s">
        <v>190</v>
      </c>
    </row>
    <row r="3" spans="1:9" ht="14.25" thickTop="1">
      <c r="A3" s="126">
        <v>0.1</v>
      </c>
      <c r="B3" s="127">
        <f>3.1415926*A3*A3/4</f>
        <v>0.007853981500000001</v>
      </c>
      <c r="C3" s="128">
        <v>38</v>
      </c>
      <c r="D3" s="128">
        <v>42</v>
      </c>
      <c r="E3" s="126">
        <v>0.125</v>
      </c>
      <c r="F3" s="126">
        <f aca="true" t="shared" si="0" ref="F3:F78">1/58.527/B3</f>
        <v>2.1754738265318365</v>
      </c>
      <c r="G3" s="126">
        <v>2.034</v>
      </c>
      <c r="H3" s="126">
        <v>2.333</v>
      </c>
      <c r="I3" s="127">
        <f aca="true" t="shared" si="1" ref="I3:I78">B3/100*100000*8.9/1000</f>
        <v>0.06990043535000001</v>
      </c>
    </row>
    <row r="4" spans="1:9" ht="13.5">
      <c r="A4" s="126">
        <v>0.112</v>
      </c>
      <c r="B4" s="127">
        <f>3.1415926*A4*A4/4</f>
        <v>0.0098520343936</v>
      </c>
      <c r="C4" s="128">
        <v>37</v>
      </c>
      <c r="D4" s="128">
        <v>41</v>
      </c>
      <c r="E4" s="126">
        <v>0.139</v>
      </c>
      <c r="F4" s="126">
        <f t="shared" si="0"/>
        <v>1.7342744152836707</v>
      </c>
      <c r="G4" s="126">
        <v>1.632</v>
      </c>
      <c r="H4" s="126">
        <v>1.848</v>
      </c>
      <c r="I4" s="127">
        <f t="shared" si="1"/>
        <v>0.08768310610304002</v>
      </c>
    </row>
    <row r="5" spans="1:9" ht="13.5">
      <c r="A5" s="129">
        <v>0.118</v>
      </c>
      <c r="B5" s="130">
        <f>3.1415926*A5*A5/4</f>
        <v>0.010935883840599998</v>
      </c>
      <c r="C5" s="128" t="s">
        <v>191</v>
      </c>
      <c r="D5" s="128" t="s">
        <v>191</v>
      </c>
      <c r="E5" s="126">
        <v>0.145</v>
      </c>
      <c r="F5" s="126">
        <f t="shared" si="0"/>
        <v>1.5623914295689723</v>
      </c>
      <c r="G5" s="126">
        <v>1.474</v>
      </c>
      <c r="H5" s="126">
        <v>1.6599</v>
      </c>
      <c r="I5" s="127">
        <f t="shared" si="1"/>
        <v>0.09732936618134</v>
      </c>
    </row>
    <row r="6" spans="1:9" ht="13.5">
      <c r="A6" s="126">
        <v>0.125</v>
      </c>
      <c r="B6" s="130">
        <f aca="true" t="shared" si="2" ref="B6:B84">3.14*A6*A6/4</f>
        <v>0.012265625</v>
      </c>
      <c r="C6" s="128">
        <v>36</v>
      </c>
      <c r="D6" s="128">
        <v>40</v>
      </c>
      <c r="E6" s="126">
        <v>0.154</v>
      </c>
      <c r="F6" s="126">
        <f t="shared" si="0"/>
        <v>1.393009421640989</v>
      </c>
      <c r="G6" s="126">
        <v>1.317</v>
      </c>
      <c r="H6" s="126">
        <v>1.475</v>
      </c>
      <c r="I6" s="130">
        <f t="shared" si="1"/>
        <v>0.10916406250000002</v>
      </c>
    </row>
    <row r="7" spans="1:9" ht="13.5">
      <c r="A7" s="126">
        <v>0.13</v>
      </c>
      <c r="B7" s="130">
        <f t="shared" si="2"/>
        <v>0.0132665</v>
      </c>
      <c r="C7" s="128"/>
      <c r="D7" s="128"/>
      <c r="E7" s="126">
        <v>0.161</v>
      </c>
      <c r="F7" s="126">
        <f t="shared" si="0"/>
        <v>1.287915515570441</v>
      </c>
      <c r="G7" s="126">
        <v>1.22</v>
      </c>
      <c r="H7" s="126">
        <v>1.361</v>
      </c>
      <c r="I7" s="130">
        <f t="shared" si="1"/>
        <v>0.11807185000000002</v>
      </c>
    </row>
    <row r="8" spans="1:9" ht="13.5">
      <c r="A8" s="129">
        <v>0.132</v>
      </c>
      <c r="B8" s="130">
        <f t="shared" si="2"/>
        <v>0.013677840000000002</v>
      </c>
      <c r="C8" s="128" t="s">
        <v>191</v>
      </c>
      <c r="D8" s="126" t="s">
        <v>191</v>
      </c>
      <c r="E8" s="126">
        <v>0.162</v>
      </c>
      <c r="F8" s="126">
        <f t="shared" si="0"/>
        <v>1.2491834373932764</v>
      </c>
      <c r="G8" s="126">
        <v>1.184</v>
      </c>
      <c r="H8" s="126">
        <v>1.319</v>
      </c>
      <c r="I8" s="130">
        <f t="shared" si="1"/>
        <v>0.12173277600000003</v>
      </c>
    </row>
    <row r="9" spans="1:9" ht="13.5">
      <c r="A9" s="126">
        <v>0.14</v>
      </c>
      <c r="B9" s="130">
        <f t="shared" si="2"/>
        <v>0.015386000000000004</v>
      </c>
      <c r="C9" s="128">
        <v>35</v>
      </c>
      <c r="D9" s="128">
        <v>39</v>
      </c>
      <c r="E9" s="126">
        <v>0.171</v>
      </c>
      <c r="F9" s="126">
        <f t="shared" si="0"/>
        <v>1.110498582303084</v>
      </c>
      <c r="G9" s="126">
        <v>1.055</v>
      </c>
      <c r="H9" s="126">
        <v>1.17</v>
      </c>
      <c r="I9" s="130">
        <f t="shared" si="1"/>
        <v>0.13693540000000004</v>
      </c>
    </row>
    <row r="10" spans="1:9" ht="13.5">
      <c r="A10" s="129">
        <v>0.15</v>
      </c>
      <c r="B10" s="130">
        <f t="shared" si="2"/>
        <v>0.017662499999999998</v>
      </c>
      <c r="C10" s="128" t="s">
        <v>191</v>
      </c>
      <c r="D10" s="128" t="s">
        <v>191</v>
      </c>
      <c r="E10" s="126">
        <v>0.182</v>
      </c>
      <c r="F10" s="131">
        <f t="shared" si="0"/>
        <v>0.9673676539173536</v>
      </c>
      <c r="G10" s="131">
        <v>0.9219</v>
      </c>
      <c r="H10" s="131">
        <v>1.0159</v>
      </c>
      <c r="I10" s="130">
        <f t="shared" si="1"/>
        <v>0.15719624999999998</v>
      </c>
    </row>
    <row r="11" spans="1:9" ht="13.5">
      <c r="A11" s="126">
        <v>0.16</v>
      </c>
      <c r="B11" s="130">
        <f t="shared" si="2"/>
        <v>0.020096000000000003</v>
      </c>
      <c r="C11" s="128">
        <v>34</v>
      </c>
      <c r="D11" s="128">
        <v>38</v>
      </c>
      <c r="E11" s="126">
        <v>0.194</v>
      </c>
      <c r="F11" s="131">
        <f t="shared" si="0"/>
        <v>0.8502254770757988</v>
      </c>
      <c r="G11" s="131">
        <v>0.8122</v>
      </c>
      <c r="H11" s="131">
        <v>0.8906</v>
      </c>
      <c r="I11" s="130">
        <f t="shared" si="1"/>
        <v>0.17885440000000002</v>
      </c>
    </row>
    <row r="12" spans="1:9" ht="13.5">
      <c r="A12" s="129">
        <v>0.17</v>
      </c>
      <c r="B12" s="130">
        <f t="shared" si="2"/>
        <v>0.022686500000000005</v>
      </c>
      <c r="C12" s="128" t="s">
        <v>191</v>
      </c>
      <c r="D12" s="128" t="s">
        <v>191</v>
      </c>
      <c r="E12" s="126">
        <v>0.205</v>
      </c>
      <c r="F12" s="131">
        <f t="shared" si="0"/>
        <v>0.7531409070290812</v>
      </c>
      <c r="G12" s="131">
        <v>0.7211</v>
      </c>
      <c r="H12" s="131">
        <v>0.7871</v>
      </c>
      <c r="I12" s="130">
        <f t="shared" si="1"/>
        <v>0.20190985000000006</v>
      </c>
    </row>
    <row r="13" spans="1:9" ht="13.5">
      <c r="A13" s="126">
        <v>0.18</v>
      </c>
      <c r="B13" s="130">
        <f t="shared" si="2"/>
        <v>0.025434000000000002</v>
      </c>
      <c r="C13" s="128">
        <v>33</v>
      </c>
      <c r="D13" s="128">
        <v>36</v>
      </c>
      <c r="E13" s="126">
        <v>0.217</v>
      </c>
      <c r="F13" s="131">
        <f t="shared" si="0"/>
        <v>0.6717830929981621</v>
      </c>
      <c r="G13" s="131">
        <v>0.6444</v>
      </c>
      <c r="H13" s="131">
        <v>0.7007</v>
      </c>
      <c r="I13" s="130">
        <f t="shared" si="1"/>
        <v>0.22636260000000005</v>
      </c>
    </row>
    <row r="14" spans="1:9" ht="13.5">
      <c r="A14" s="129">
        <v>0.19</v>
      </c>
      <c r="B14" s="130">
        <f t="shared" si="2"/>
        <v>0.028338500000000003</v>
      </c>
      <c r="C14" s="128" t="s">
        <v>191</v>
      </c>
      <c r="D14" s="128" t="s">
        <v>191</v>
      </c>
      <c r="E14" s="126">
        <v>0.228</v>
      </c>
      <c r="F14" s="131">
        <f t="shared" si="0"/>
        <v>0.6029299782033366</v>
      </c>
      <c r="G14" s="131">
        <v>0.5794</v>
      </c>
      <c r="H14" s="131">
        <v>0.6278</v>
      </c>
      <c r="I14" s="130">
        <f t="shared" si="1"/>
        <v>0.25221265000000004</v>
      </c>
    </row>
    <row r="15" spans="1:9" ht="13.5">
      <c r="A15" s="126">
        <v>0.2</v>
      </c>
      <c r="B15" s="130">
        <f t="shared" si="2"/>
        <v>0.031400000000000004</v>
      </c>
      <c r="C15" s="128">
        <v>32</v>
      </c>
      <c r="D15" s="128">
        <v>35</v>
      </c>
      <c r="E15" s="126">
        <v>0.239</v>
      </c>
      <c r="F15" s="131">
        <f t="shared" si="0"/>
        <v>0.5441443053285112</v>
      </c>
      <c r="G15" s="131">
        <v>0.5237</v>
      </c>
      <c r="H15" s="131">
        <v>0.5657</v>
      </c>
      <c r="I15" s="130">
        <f t="shared" si="1"/>
        <v>0.27946000000000004</v>
      </c>
    </row>
    <row r="16" spans="1:9" ht="13.5">
      <c r="A16" s="126">
        <v>0.21</v>
      </c>
      <c r="B16" s="130">
        <f t="shared" si="2"/>
        <v>0.034618499999999996</v>
      </c>
      <c r="C16" s="128"/>
      <c r="D16" s="128"/>
      <c r="E16" s="126">
        <v>0.249</v>
      </c>
      <c r="F16" s="131">
        <f t="shared" si="0"/>
        <v>0.4935549254680375</v>
      </c>
      <c r="G16" s="131">
        <v>0.4758</v>
      </c>
      <c r="H16" s="131">
        <v>0.5124</v>
      </c>
      <c r="I16" s="130">
        <f t="shared" si="1"/>
        <v>0.30810465</v>
      </c>
    </row>
    <row r="17" spans="1:9" ht="13.5">
      <c r="A17" s="129">
        <v>0.212</v>
      </c>
      <c r="B17" s="130">
        <f t="shared" si="2"/>
        <v>0.03528104</v>
      </c>
      <c r="C17" s="128" t="s">
        <v>191</v>
      </c>
      <c r="D17" s="128" t="s">
        <v>191</v>
      </c>
      <c r="E17" s="126">
        <v>0.254</v>
      </c>
      <c r="F17" s="131">
        <f t="shared" si="0"/>
        <v>0.48428649459639667</v>
      </c>
      <c r="G17" s="131">
        <v>0.4669</v>
      </c>
      <c r="H17" s="131">
        <v>0.5026</v>
      </c>
      <c r="I17" s="130">
        <f t="shared" si="1"/>
        <v>0.314001256</v>
      </c>
    </row>
    <row r="18" spans="1:9" ht="13.5">
      <c r="A18" s="126">
        <v>0.224</v>
      </c>
      <c r="B18" s="130">
        <f t="shared" si="2"/>
        <v>0.039388160000000005</v>
      </c>
      <c r="C18" s="128">
        <v>31</v>
      </c>
      <c r="D18" s="128">
        <v>34</v>
      </c>
      <c r="E18" s="126">
        <v>0.266</v>
      </c>
      <c r="F18" s="131">
        <f t="shared" si="0"/>
        <v>0.43378850871214225</v>
      </c>
      <c r="G18" s="131">
        <v>0.4188</v>
      </c>
      <c r="H18" s="131">
        <v>0.4495</v>
      </c>
      <c r="I18" s="130">
        <f t="shared" si="1"/>
        <v>0.35055462400000004</v>
      </c>
    </row>
    <row r="19" spans="1:9" ht="13.5">
      <c r="A19" s="126">
        <v>0.23</v>
      </c>
      <c r="B19" s="130">
        <f t="shared" si="2"/>
        <v>0.04152650000000001</v>
      </c>
      <c r="C19" s="128"/>
      <c r="D19" s="128"/>
      <c r="E19" s="126">
        <v>0.272</v>
      </c>
      <c r="F19" s="131">
        <f t="shared" si="0"/>
        <v>0.4114512705697627</v>
      </c>
      <c r="G19" s="131">
        <v>0.3976</v>
      </c>
      <c r="H19" s="131">
        <v>0.4261</v>
      </c>
      <c r="I19" s="130">
        <f t="shared" si="1"/>
        <v>0.36958585000000005</v>
      </c>
    </row>
    <row r="20" spans="1:9" ht="13.5">
      <c r="A20" s="129">
        <v>0.236</v>
      </c>
      <c r="B20" s="130">
        <f t="shared" si="2"/>
        <v>0.04372136</v>
      </c>
      <c r="C20" s="128" t="s">
        <v>191</v>
      </c>
      <c r="D20" s="128" t="s">
        <v>191</v>
      </c>
      <c r="E20" s="126">
        <v>0.283</v>
      </c>
      <c r="F20" s="131">
        <f t="shared" si="0"/>
        <v>0.39079596763035856</v>
      </c>
      <c r="G20" s="131">
        <v>0.3747</v>
      </c>
      <c r="H20" s="131">
        <v>0.4079</v>
      </c>
      <c r="I20" s="130">
        <f t="shared" si="1"/>
        <v>0.389120104</v>
      </c>
    </row>
    <row r="21" spans="1:9" ht="13.5">
      <c r="A21" s="126">
        <v>0.25</v>
      </c>
      <c r="B21" s="130">
        <f t="shared" si="2"/>
        <v>0.0490625</v>
      </c>
      <c r="C21" s="128">
        <v>30</v>
      </c>
      <c r="D21" s="128">
        <v>33</v>
      </c>
      <c r="E21" s="126">
        <v>0.297</v>
      </c>
      <c r="F21" s="131">
        <f t="shared" si="0"/>
        <v>0.34825235541024724</v>
      </c>
      <c r="G21" s="131">
        <v>0.3345</v>
      </c>
      <c r="H21" s="131">
        <v>0.3628</v>
      </c>
      <c r="I21" s="130">
        <f t="shared" si="1"/>
        <v>0.4366562500000001</v>
      </c>
    </row>
    <row r="22" spans="1:9" ht="13.5">
      <c r="A22" s="129">
        <v>0.265</v>
      </c>
      <c r="B22" s="130">
        <f t="shared" si="2"/>
        <v>0.055126625000000005</v>
      </c>
      <c r="C22" s="128" t="s">
        <v>191</v>
      </c>
      <c r="D22" s="128" t="s">
        <v>191</v>
      </c>
      <c r="E22" s="126">
        <v>0.314</v>
      </c>
      <c r="F22" s="131">
        <f t="shared" si="0"/>
        <v>0.30994335654169386</v>
      </c>
      <c r="G22" s="131">
        <v>0.2982</v>
      </c>
      <c r="H22" s="131">
        <v>0.3223</v>
      </c>
      <c r="I22" s="130">
        <f t="shared" si="1"/>
        <v>0.4906269625000001</v>
      </c>
    </row>
    <row r="23" spans="1:9" ht="13.5">
      <c r="A23" s="129">
        <v>0.27</v>
      </c>
      <c r="B23" s="130">
        <f t="shared" si="2"/>
        <v>0.05722650000000001</v>
      </c>
      <c r="C23" s="128"/>
      <c r="D23" s="128"/>
      <c r="E23" s="126">
        <v>0.319</v>
      </c>
      <c r="F23" s="131">
        <f t="shared" si="0"/>
        <v>0.29857026355473865</v>
      </c>
      <c r="G23" s="131">
        <v>0.2813</v>
      </c>
      <c r="H23" s="131">
        <v>0.308</v>
      </c>
      <c r="I23" s="130">
        <f t="shared" si="1"/>
        <v>0.5093158500000002</v>
      </c>
    </row>
    <row r="24" spans="1:9" ht="13.5">
      <c r="A24" s="126">
        <v>0.28</v>
      </c>
      <c r="B24" s="130">
        <f t="shared" si="2"/>
        <v>0.061544000000000015</v>
      </c>
      <c r="C24" s="128">
        <v>29</v>
      </c>
      <c r="D24" s="128">
        <v>32</v>
      </c>
      <c r="E24" s="126">
        <v>0.329</v>
      </c>
      <c r="F24" s="131">
        <f t="shared" si="0"/>
        <v>0.277624645575771</v>
      </c>
      <c r="G24" s="131">
        <v>0.2676</v>
      </c>
      <c r="H24" s="131">
        <v>0.2882</v>
      </c>
      <c r="I24" s="130">
        <f t="shared" si="1"/>
        <v>0.5477416000000002</v>
      </c>
    </row>
    <row r="25" spans="1:9" ht="13.5">
      <c r="A25" s="126">
        <v>0.29</v>
      </c>
      <c r="B25" s="130">
        <f t="shared" si="2"/>
        <v>0.0660185</v>
      </c>
      <c r="C25" s="128"/>
      <c r="D25" s="128"/>
      <c r="E25" s="126">
        <v>0.342</v>
      </c>
      <c r="F25" s="131">
        <f t="shared" si="0"/>
        <v>0.25880823083401255</v>
      </c>
      <c r="G25" s="131">
        <v>0.2514</v>
      </c>
      <c r="H25" s="131">
        <v>0.2666</v>
      </c>
      <c r="I25" s="130">
        <f t="shared" si="1"/>
        <v>0.58756465</v>
      </c>
    </row>
    <row r="26" spans="1:9" ht="13.5">
      <c r="A26" s="129">
        <v>0.3</v>
      </c>
      <c r="B26" s="130">
        <f t="shared" si="2"/>
        <v>0.07064999999999999</v>
      </c>
      <c r="C26" s="128" t="s">
        <v>191</v>
      </c>
      <c r="D26" s="128" t="s">
        <v>191</v>
      </c>
      <c r="E26" s="126">
        <v>0.352</v>
      </c>
      <c r="F26" s="131">
        <f t="shared" si="0"/>
        <v>0.2418419134793384</v>
      </c>
      <c r="G26" s="131">
        <v>0.2335</v>
      </c>
      <c r="H26" s="131">
        <v>0.2506</v>
      </c>
      <c r="I26" s="130">
        <f t="shared" si="1"/>
        <v>0.6287849999999999</v>
      </c>
    </row>
    <row r="27" spans="1:9" ht="13.5">
      <c r="A27" s="129">
        <v>0.31</v>
      </c>
      <c r="B27" s="130">
        <f t="shared" si="2"/>
        <v>0.0754385</v>
      </c>
      <c r="C27" s="128"/>
      <c r="D27" s="128"/>
      <c r="E27" s="126">
        <v>0.362</v>
      </c>
      <c r="F27" s="131">
        <f t="shared" si="0"/>
        <v>0.22649086590156556</v>
      </c>
      <c r="G27" s="131">
        <v>0.2189</v>
      </c>
      <c r="H27" s="131">
        <v>0.2344</v>
      </c>
      <c r="I27" s="130">
        <f t="shared" si="1"/>
        <v>0.6714026500000001</v>
      </c>
    </row>
    <row r="28" spans="1:9" ht="13.5">
      <c r="A28" s="126">
        <v>0.315</v>
      </c>
      <c r="B28" s="130">
        <f t="shared" si="2"/>
        <v>0.077891625</v>
      </c>
      <c r="C28" s="128">
        <v>28</v>
      </c>
      <c r="D28" s="128">
        <v>30</v>
      </c>
      <c r="E28" s="126">
        <v>0.367</v>
      </c>
      <c r="F28" s="131">
        <f t="shared" si="0"/>
        <v>0.21935774465246108</v>
      </c>
      <c r="G28" s="131">
        <v>0.2121</v>
      </c>
      <c r="H28" s="131">
        <v>0.227</v>
      </c>
      <c r="I28" s="130">
        <f t="shared" si="1"/>
        <v>0.6932354625</v>
      </c>
    </row>
    <row r="29" spans="1:9" ht="13.5">
      <c r="A29" s="129">
        <v>0.335</v>
      </c>
      <c r="B29" s="130">
        <f t="shared" si="2"/>
        <v>0.08809662500000001</v>
      </c>
      <c r="C29" s="128" t="s">
        <v>191</v>
      </c>
      <c r="D29" s="126" t="s">
        <v>191</v>
      </c>
      <c r="E29" s="126">
        <v>0.391</v>
      </c>
      <c r="F29" s="131">
        <f t="shared" si="0"/>
        <v>0.19394762497786097</v>
      </c>
      <c r="G29" s="131">
        <v>0.1878</v>
      </c>
      <c r="H29" s="131">
        <v>0.2004</v>
      </c>
      <c r="I29" s="130">
        <f t="shared" si="1"/>
        <v>0.7840599625000002</v>
      </c>
    </row>
    <row r="30" spans="1:9" ht="13.5">
      <c r="A30" s="129">
        <v>0.35</v>
      </c>
      <c r="B30" s="130">
        <f t="shared" si="2"/>
        <v>0.0961625</v>
      </c>
      <c r="C30" s="128"/>
      <c r="D30" s="126"/>
      <c r="E30" s="126">
        <v>0.406</v>
      </c>
      <c r="F30" s="131">
        <f t="shared" si="0"/>
        <v>0.17767977316849348</v>
      </c>
      <c r="G30" s="131">
        <v>0.1722</v>
      </c>
      <c r="H30" s="131">
        <v>0.1834</v>
      </c>
      <c r="I30" s="130">
        <f t="shared" si="1"/>
        <v>0.85584625</v>
      </c>
    </row>
    <row r="31" spans="1:9" ht="13.5">
      <c r="A31" s="126">
        <v>0.355</v>
      </c>
      <c r="B31" s="130">
        <f t="shared" si="2"/>
        <v>0.098929625</v>
      </c>
      <c r="C31" s="128">
        <v>27</v>
      </c>
      <c r="D31" s="128">
        <v>29</v>
      </c>
      <c r="E31" s="126">
        <v>0.411</v>
      </c>
      <c r="F31" s="131">
        <f t="shared" si="0"/>
        <v>0.17270995606538744</v>
      </c>
      <c r="G31" s="131">
        <v>0.1674</v>
      </c>
      <c r="H31" s="131">
        <v>0.1782</v>
      </c>
      <c r="I31" s="130">
        <f t="shared" si="1"/>
        <v>0.8804736624999999</v>
      </c>
    </row>
    <row r="32" spans="1:9" ht="13.5">
      <c r="A32" s="129">
        <v>0.375</v>
      </c>
      <c r="B32" s="131">
        <f t="shared" si="2"/>
        <v>0.11039062499999999</v>
      </c>
      <c r="C32" s="128" t="s">
        <v>191</v>
      </c>
      <c r="D32" s="126" t="s">
        <v>191</v>
      </c>
      <c r="E32" s="126">
        <v>0.434</v>
      </c>
      <c r="F32" s="131">
        <f t="shared" si="0"/>
        <v>0.15477882462677656</v>
      </c>
      <c r="G32" s="131">
        <v>0.1494</v>
      </c>
      <c r="H32" s="131">
        <v>0.1604</v>
      </c>
      <c r="I32" s="130">
        <f t="shared" si="1"/>
        <v>0.9824765624999999</v>
      </c>
    </row>
    <row r="33" spans="1:9" ht="13.5">
      <c r="A33" s="129">
        <v>0.38</v>
      </c>
      <c r="B33" s="131">
        <f t="shared" si="2"/>
        <v>0.11335400000000001</v>
      </c>
      <c r="C33" s="128"/>
      <c r="D33" s="126"/>
      <c r="E33" s="126">
        <v>0.439</v>
      </c>
      <c r="F33" s="131">
        <f t="shared" si="0"/>
        <v>0.15073249455083415</v>
      </c>
      <c r="G33" s="131">
        <v>0.1464</v>
      </c>
      <c r="H33" s="131">
        <v>0.1553</v>
      </c>
      <c r="I33" s="130">
        <f t="shared" si="1"/>
        <v>1.0088506000000002</v>
      </c>
    </row>
    <row r="34" spans="1:9" ht="13.5">
      <c r="A34" s="126">
        <v>0.4</v>
      </c>
      <c r="B34" s="131">
        <f t="shared" si="2"/>
        <v>0.12560000000000002</v>
      </c>
      <c r="C34" s="128">
        <v>26</v>
      </c>
      <c r="D34" s="128">
        <v>27</v>
      </c>
      <c r="E34" s="126">
        <v>0.459</v>
      </c>
      <c r="F34" s="131">
        <f t="shared" si="0"/>
        <v>0.1360360763321278</v>
      </c>
      <c r="G34" s="131">
        <v>0.1316</v>
      </c>
      <c r="H34" s="131">
        <v>0.1407</v>
      </c>
      <c r="I34" s="131">
        <f t="shared" si="1"/>
        <v>1.1178400000000002</v>
      </c>
    </row>
    <row r="35" spans="1:9" ht="13.5">
      <c r="A35" s="126">
        <v>0.41</v>
      </c>
      <c r="B35" s="131">
        <f t="shared" si="2"/>
        <v>0.13195849999999998</v>
      </c>
      <c r="C35" s="128"/>
      <c r="D35" s="128"/>
      <c r="E35" s="126">
        <v>0.469</v>
      </c>
      <c r="F35" s="131">
        <f t="shared" si="0"/>
        <v>0.12948109585449408</v>
      </c>
      <c r="G35" s="131">
        <v>0.1253</v>
      </c>
      <c r="H35" s="131">
        <v>0.1338</v>
      </c>
      <c r="I35" s="131">
        <f t="shared" si="1"/>
        <v>1.17443065</v>
      </c>
    </row>
    <row r="36" spans="1:9" ht="13.5">
      <c r="A36" s="129">
        <v>0.425</v>
      </c>
      <c r="B36" s="131">
        <f t="shared" si="2"/>
        <v>0.141790625</v>
      </c>
      <c r="C36" s="128" t="s">
        <v>191</v>
      </c>
      <c r="D36" s="128" t="s">
        <v>191</v>
      </c>
      <c r="E36" s="126">
        <v>0.488</v>
      </c>
      <c r="F36" s="131">
        <f t="shared" si="0"/>
        <v>0.12050254512465301</v>
      </c>
      <c r="G36" s="131">
        <v>0.1167</v>
      </c>
      <c r="H36" s="131">
        <v>0.1244</v>
      </c>
      <c r="I36" s="131">
        <f t="shared" si="1"/>
        <v>1.2619365625</v>
      </c>
    </row>
    <row r="37" spans="1:9" ht="13.5">
      <c r="A37" s="129">
        <v>0.44</v>
      </c>
      <c r="B37" s="131">
        <f t="shared" si="2"/>
        <v>0.15197600000000003</v>
      </c>
      <c r="C37" s="128"/>
      <c r="D37" s="128"/>
      <c r="E37" s="126">
        <v>0.503</v>
      </c>
      <c r="F37" s="131">
        <f t="shared" si="0"/>
        <v>0.11242650936539487</v>
      </c>
      <c r="G37" s="131">
        <v>0.109</v>
      </c>
      <c r="H37" s="131">
        <v>0.116</v>
      </c>
      <c r="I37" s="131">
        <f t="shared" si="1"/>
        <v>1.3525864000000003</v>
      </c>
    </row>
    <row r="38" spans="1:9" ht="13.5">
      <c r="A38" s="126">
        <v>0.45</v>
      </c>
      <c r="B38" s="131">
        <f t="shared" si="2"/>
        <v>0.1589625</v>
      </c>
      <c r="C38" s="128">
        <v>25</v>
      </c>
      <c r="D38" s="128">
        <v>26</v>
      </c>
      <c r="E38" s="126">
        <v>0.513</v>
      </c>
      <c r="F38" s="131">
        <f t="shared" si="0"/>
        <v>0.10748529487970593</v>
      </c>
      <c r="G38" s="131">
        <v>0.1042</v>
      </c>
      <c r="H38" s="131">
        <v>0.1109</v>
      </c>
      <c r="I38" s="131">
        <f t="shared" si="1"/>
        <v>1.4147662500000002</v>
      </c>
    </row>
    <row r="39" spans="1:9" ht="13.5">
      <c r="A39" s="126">
        <v>0.47</v>
      </c>
      <c r="B39" s="131">
        <f t="shared" si="2"/>
        <v>0.1734065</v>
      </c>
      <c r="C39" s="128"/>
      <c r="D39" s="128"/>
      <c r="E39" s="126">
        <v>0.536</v>
      </c>
      <c r="F39" s="131">
        <f t="shared" si="0"/>
        <v>0.09853224179782911</v>
      </c>
      <c r="G39" s="131">
        <v>0.09568</v>
      </c>
      <c r="H39" s="131">
        <v>0.1015</v>
      </c>
      <c r="I39" s="131">
        <f t="shared" si="1"/>
        <v>1.54331785</v>
      </c>
    </row>
    <row r="40" spans="1:9" ht="13.5">
      <c r="A40" s="129">
        <v>0.475</v>
      </c>
      <c r="B40" s="131">
        <f t="shared" si="2"/>
        <v>0.177115625</v>
      </c>
      <c r="C40" s="128" t="s">
        <v>191</v>
      </c>
      <c r="D40" s="128" t="s">
        <v>191</v>
      </c>
      <c r="E40" s="126">
        <v>0.541</v>
      </c>
      <c r="F40" s="130">
        <f t="shared" si="0"/>
        <v>0.09646879651253386</v>
      </c>
      <c r="G40" s="130">
        <v>0.09366</v>
      </c>
      <c r="H40" s="130">
        <v>0.09938</v>
      </c>
      <c r="I40" s="131">
        <f t="shared" si="1"/>
        <v>1.5763290625</v>
      </c>
    </row>
    <row r="41" spans="1:9" ht="13.5">
      <c r="A41" s="129">
        <v>0.49</v>
      </c>
      <c r="B41" s="131">
        <f t="shared" si="2"/>
        <v>0.1884785</v>
      </c>
      <c r="C41" s="128"/>
      <c r="D41" s="128"/>
      <c r="E41" s="126">
        <v>0.556</v>
      </c>
      <c r="F41" s="130">
        <f t="shared" si="0"/>
        <v>0.09065294549412933</v>
      </c>
      <c r="G41" s="130">
        <v>0.08811</v>
      </c>
      <c r="H41" s="130">
        <v>0.09335</v>
      </c>
      <c r="I41" s="131">
        <f t="shared" si="1"/>
        <v>1.67745865</v>
      </c>
    </row>
    <row r="42" spans="1:9" ht="13.5">
      <c r="A42" s="126">
        <v>0.5</v>
      </c>
      <c r="B42" s="131">
        <f t="shared" si="2"/>
        <v>0.19625</v>
      </c>
      <c r="C42" s="128">
        <v>24</v>
      </c>
      <c r="D42" s="128">
        <v>25</v>
      </c>
      <c r="E42" s="126">
        <v>0.566</v>
      </c>
      <c r="F42" s="130">
        <f t="shared" si="0"/>
        <v>0.08706308885256181</v>
      </c>
      <c r="G42" s="130">
        <v>0.08462</v>
      </c>
      <c r="H42" s="130">
        <v>0.08959</v>
      </c>
      <c r="I42" s="131">
        <f t="shared" si="1"/>
        <v>1.7466250000000003</v>
      </c>
    </row>
    <row r="43" spans="1:9" ht="13.5">
      <c r="A43" s="126">
        <v>0.51</v>
      </c>
      <c r="B43" s="131">
        <f t="shared" si="2"/>
        <v>0.2041785</v>
      </c>
      <c r="C43" s="128"/>
      <c r="D43" s="128"/>
      <c r="E43" s="126">
        <v>0.576</v>
      </c>
      <c r="F43" s="130">
        <f t="shared" si="0"/>
        <v>0.08368232300323125</v>
      </c>
      <c r="G43" s="130">
        <v>0.08108</v>
      </c>
      <c r="H43" s="130">
        <v>0.08645</v>
      </c>
      <c r="I43" s="131">
        <f t="shared" si="1"/>
        <v>1.81718865</v>
      </c>
    </row>
    <row r="44" spans="1:9" ht="13.5">
      <c r="A44" s="129">
        <v>0.53</v>
      </c>
      <c r="B44" s="131">
        <f t="shared" si="2"/>
        <v>0.22050650000000002</v>
      </c>
      <c r="C44" s="128" t="s">
        <v>191</v>
      </c>
      <c r="D44" s="128" t="s">
        <v>191</v>
      </c>
      <c r="E44" s="126">
        <v>0.6</v>
      </c>
      <c r="F44" s="130">
        <f t="shared" si="0"/>
        <v>0.07748583913542346</v>
      </c>
      <c r="G44" s="130">
        <v>0.07512</v>
      </c>
      <c r="H44" s="130">
        <v>0.07995</v>
      </c>
      <c r="I44" s="131">
        <f t="shared" si="1"/>
        <v>1.9625078500000004</v>
      </c>
    </row>
    <row r="45" spans="1:9" ht="13.5">
      <c r="A45" s="129">
        <v>0.55</v>
      </c>
      <c r="B45" s="131">
        <f t="shared" si="2"/>
        <v>0.23746250000000005</v>
      </c>
      <c r="C45" s="128"/>
      <c r="D45" s="128"/>
      <c r="E45" s="126">
        <v>0.62</v>
      </c>
      <c r="F45" s="130">
        <f t="shared" si="0"/>
        <v>0.07195296599385272</v>
      </c>
      <c r="G45" s="130">
        <v>0.06983</v>
      </c>
      <c r="H45" s="130">
        <v>0.0742</v>
      </c>
      <c r="I45" s="131">
        <f t="shared" si="1"/>
        <v>2.11341625</v>
      </c>
    </row>
    <row r="46" spans="1:9" ht="13.5">
      <c r="A46" s="126">
        <v>0.56</v>
      </c>
      <c r="B46" s="131">
        <f t="shared" si="2"/>
        <v>0.24617600000000006</v>
      </c>
      <c r="C46" s="128">
        <v>23</v>
      </c>
      <c r="D46" s="128">
        <v>24</v>
      </c>
      <c r="E46" s="126">
        <v>0.63</v>
      </c>
      <c r="F46" s="130">
        <f t="shared" si="0"/>
        <v>0.06940616139394275</v>
      </c>
      <c r="G46" s="130">
        <v>0.06736</v>
      </c>
      <c r="H46" s="130">
        <v>0.07153</v>
      </c>
      <c r="I46" s="131">
        <f t="shared" si="1"/>
        <v>2.1909664000000006</v>
      </c>
    </row>
    <row r="47" spans="1:9" ht="13.5">
      <c r="A47" s="126">
        <v>0.57</v>
      </c>
      <c r="B47" s="131">
        <f t="shared" si="2"/>
        <v>0.25504649999999995</v>
      </c>
      <c r="C47" s="128"/>
      <c r="D47" s="128"/>
      <c r="E47" s="126">
        <v>0.64</v>
      </c>
      <c r="F47" s="130">
        <f t="shared" si="0"/>
        <v>0.06699221980037075</v>
      </c>
      <c r="G47" s="130">
        <v>0.06507</v>
      </c>
      <c r="H47" s="130">
        <v>0.0693</v>
      </c>
      <c r="I47" s="131">
        <f t="shared" si="1"/>
        <v>2.2699138499999996</v>
      </c>
    </row>
    <row r="48" spans="1:9" ht="13.5">
      <c r="A48" s="126">
        <v>0.59</v>
      </c>
      <c r="B48" s="131">
        <f t="shared" si="2"/>
        <v>0.2732585</v>
      </c>
      <c r="C48" s="128"/>
      <c r="D48" s="128"/>
      <c r="E48" s="126">
        <v>0.664</v>
      </c>
      <c r="F48" s="130">
        <f t="shared" si="0"/>
        <v>0.06252735482085738</v>
      </c>
      <c r="G48" s="130">
        <v>0.06077</v>
      </c>
      <c r="H48" s="130">
        <v>0.06438</v>
      </c>
      <c r="I48" s="131">
        <f t="shared" si="1"/>
        <v>2.4320006500000004</v>
      </c>
    </row>
    <row r="49" spans="1:9" ht="13.5">
      <c r="A49" s="129">
        <v>0.6</v>
      </c>
      <c r="B49" s="131">
        <f t="shared" si="2"/>
        <v>0.28259999999999996</v>
      </c>
      <c r="C49" s="128" t="s">
        <v>191</v>
      </c>
      <c r="D49" s="128" t="s">
        <v>191</v>
      </c>
      <c r="E49" s="126">
        <v>0.674</v>
      </c>
      <c r="F49" s="130">
        <f t="shared" si="0"/>
        <v>0.0604604783698346</v>
      </c>
      <c r="G49" s="130">
        <v>0.05876</v>
      </c>
      <c r="H49" s="130">
        <v>0.06222</v>
      </c>
      <c r="I49" s="131">
        <f t="shared" si="1"/>
        <v>2.5151399999999997</v>
      </c>
    </row>
    <row r="50" spans="1:9" ht="13.5">
      <c r="A50" s="126">
        <v>0.63</v>
      </c>
      <c r="B50" s="131">
        <f t="shared" si="2"/>
        <v>0.3115665</v>
      </c>
      <c r="C50" s="128">
        <v>22</v>
      </c>
      <c r="D50" s="128">
        <v>23</v>
      </c>
      <c r="E50" s="126">
        <v>0.704</v>
      </c>
      <c r="F50" s="130">
        <f t="shared" si="0"/>
        <v>0.05483943616311527</v>
      </c>
      <c r="G50" s="130">
        <v>0.05335</v>
      </c>
      <c r="H50" s="130">
        <v>0.05638</v>
      </c>
      <c r="I50" s="131">
        <f t="shared" si="1"/>
        <v>2.77294185</v>
      </c>
    </row>
    <row r="51" spans="1:9" ht="13.5">
      <c r="A51" s="126">
        <v>0.64</v>
      </c>
      <c r="B51" s="131">
        <f t="shared" si="2"/>
        <v>0.32153600000000004</v>
      </c>
      <c r="C51" s="128"/>
      <c r="D51" s="128"/>
      <c r="E51" s="126">
        <v>0.714</v>
      </c>
      <c r="F51" s="130">
        <f t="shared" si="0"/>
        <v>0.05313909231723742</v>
      </c>
      <c r="G51" s="130">
        <v>0.05157</v>
      </c>
      <c r="H51" s="130">
        <v>0.0548</v>
      </c>
      <c r="I51" s="131">
        <f t="shared" si="1"/>
        <v>2.8616704000000004</v>
      </c>
    </row>
    <row r="52" spans="1:9" ht="13.5">
      <c r="A52" s="129">
        <v>0.67</v>
      </c>
      <c r="B52" s="131">
        <f t="shared" si="2"/>
        <v>0.35238650000000005</v>
      </c>
      <c r="C52" s="128" t="s">
        <v>191</v>
      </c>
      <c r="D52" s="128" t="s">
        <v>191</v>
      </c>
      <c r="E52" s="126">
        <v>0.749</v>
      </c>
      <c r="F52" s="130">
        <f t="shared" si="0"/>
        <v>0.04848690624446524</v>
      </c>
      <c r="G52" s="130">
        <v>0.04708</v>
      </c>
      <c r="H52" s="130">
        <v>0.04994</v>
      </c>
      <c r="I52" s="131">
        <f t="shared" si="1"/>
        <v>3.136239850000001</v>
      </c>
    </row>
    <row r="53" spans="1:9" ht="13.5">
      <c r="A53" s="129">
        <v>0.69</v>
      </c>
      <c r="B53" s="131">
        <f t="shared" si="2"/>
        <v>0.3737385</v>
      </c>
      <c r="C53" s="128"/>
      <c r="D53" s="128"/>
      <c r="E53" s="126">
        <v>0.769</v>
      </c>
      <c r="F53" s="130">
        <f t="shared" si="0"/>
        <v>0.045716807841084756</v>
      </c>
      <c r="G53" s="130">
        <v>0.04444</v>
      </c>
      <c r="H53" s="130">
        <v>0.04707</v>
      </c>
      <c r="I53" s="131">
        <f t="shared" si="1"/>
        <v>3.32627265</v>
      </c>
    </row>
    <row r="54" spans="1:9" ht="13.5">
      <c r="A54" s="126">
        <v>0.71</v>
      </c>
      <c r="B54" s="131">
        <f t="shared" si="2"/>
        <v>0.3957185</v>
      </c>
      <c r="C54" s="128">
        <v>21</v>
      </c>
      <c r="D54" s="121">
        <v>22</v>
      </c>
      <c r="E54" s="126">
        <v>0.789</v>
      </c>
      <c r="F54" s="130">
        <f t="shared" si="0"/>
        <v>0.04317748901634686</v>
      </c>
      <c r="G54" s="130">
        <v>0.04198</v>
      </c>
      <c r="H54" s="130">
        <v>0.04442</v>
      </c>
      <c r="I54" s="131">
        <f t="shared" si="1"/>
        <v>3.5218946499999997</v>
      </c>
    </row>
    <row r="55" spans="1:9" ht="13.5">
      <c r="A55" s="126">
        <v>0.72</v>
      </c>
      <c r="B55" s="131">
        <f t="shared" si="2"/>
        <v>0.40694400000000003</v>
      </c>
      <c r="C55" s="128"/>
      <c r="D55" s="121"/>
      <c r="E55" s="126">
        <v>0.799</v>
      </c>
      <c r="F55" s="130">
        <f t="shared" si="0"/>
        <v>0.04198644331238513</v>
      </c>
      <c r="G55" s="130">
        <v>0.04073</v>
      </c>
      <c r="H55" s="130">
        <v>0.04331</v>
      </c>
      <c r="I55" s="131">
        <f t="shared" si="1"/>
        <v>3.621801600000001</v>
      </c>
    </row>
    <row r="56" spans="1:9" ht="13.5">
      <c r="A56" s="126">
        <v>0.74</v>
      </c>
      <c r="B56" s="131">
        <f t="shared" si="2"/>
        <v>0.42986599999999997</v>
      </c>
      <c r="C56" s="128"/>
      <c r="D56" s="121"/>
      <c r="E56" s="126">
        <v>0.824</v>
      </c>
      <c r="F56" s="130">
        <f t="shared" si="0"/>
        <v>0.03974757526139601</v>
      </c>
      <c r="G56" s="130">
        <v>0.03858</v>
      </c>
      <c r="H56" s="130">
        <v>0.04098</v>
      </c>
      <c r="I56" s="131">
        <f t="shared" si="1"/>
        <v>3.8258073999999995</v>
      </c>
    </row>
    <row r="57" spans="1:9" ht="13.5">
      <c r="A57" s="129">
        <v>0.75</v>
      </c>
      <c r="B57" s="131">
        <f t="shared" si="2"/>
        <v>0.44156249999999997</v>
      </c>
      <c r="C57" s="128" t="s">
        <v>191</v>
      </c>
      <c r="D57" s="121" t="s">
        <v>191</v>
      </c>
      <c r="E57" s="126">
        <v>0.834</v>
      </c>
      <c r="F57" s="130">
        <f t="shared" si="0"/>
        <v>0.03869470615669414</v>
      </c>
      <c r="G57" s="130">
        <v>0.03756</v>
      </c>
      <c r="H57" s="130">
        <v>0.03987</v>
      </c>
      <c r="I57" s="131">
        <f t="shared" si="1"/>
        <v>3.9299062499999997</v>
      </c>
    </row>
    <row r="58" spans="1:9" ht="13.5">
      <c r="A58" s="126">
        <v>0.8</v>
      </c>
      <c r="B58" s="131">
        <f t="shared" si="2"/>
        <v>0.5024000000000001</v>
      </c>
      <c r="C58" s="128">
        <v>20</v>
      </c>
      <c r="D58" s="121">
        <v>21</v>
      </c>
      <c r="E58" s="126">
        <v>0.884</v>
      </c>
      <c r="F58" s="130">
        <f t="shared" si="0"/>
        <v>0.03400901908303195</v>
      </c>
      <c r="G58" s="130">
        <v>0.03305</v>
      </c>
      <c r="H58" s="130">
        <v>0.035</v>
      </c>
      <c r="I58" s="131">
        <f t="shared" si="1"/>
        <v>4.471360000000001</v>
      </c>
    </row>
    <row r="59" spans="1:9" ht="13.5">
      <c r="A59" s="126">
        <v>0.83</v>
      </c>
      <c r="B59" s="131">
        <f t="shared" si="2"/>
        <v>0.5407865</v>
      </c>
      <c r="C59" s="128"/>
      <c r="D59" s="121"/>
      <c r="E59" s="126">
        <v>0.919</v>
      </c>
      <c r="F59" s="130">
        <f t="shared" si="0"/>
        <v>0.031594966197039415</v>
      </c>
      <c r="G59" s="130">
        <v>0.03067</v>
      </c>
      <c r="H59" s="130">
        <v>0.03258</v>
      </c>
      <c r="I59" s="131">
        <f t="shared" si="1"/>
        <v>4.812999849999999</v>
      </c>
    </row>
    <row r="60" spans="1:9" ht="13.5">
      <c r="A60" s="129">
        <v>0.85</v>
      </c>
      <c r="B60" s="131">
        <f t="shared" si="2"/>
        <v>0.5671625</v>
      </c>
      <c r="C60" s="128" t="s">
        <v>191</v>
      </c>
      <c r="D60" s="121" t="s">
        <v>191</v>
      </c>
      <c r="E60" s="126">
        <v>0.939</v>
      </c>
      <c r="F60" s="130">
        <f t="shared" si="0"/>
        <v>0.030125636281163253</v>
      </c>
      <c r="G60" s="130">
        <v>0.02925</v>
      </c>
      <c r="H60" s="130">
        <v>0.03104</v>
      </c>
      <c r="I60" s="131">
        <f t="shared" si="1"/>
        <v>5.04774625</v>
      </c>
    </row>
    <row r="61" spans="1:9" ht="13.5">
      <c r="A61" s="126">
        <v>0.9</v>
      </c>
      <c r="B61" s="131">
        <f t="shared" si="2"/>
        <v>0.63585</v>
      </c>
      <c r="C61" s="128">
        <v>19</v>
      </c>
      <c r="D61" s="121">
        <v>20</v>
      </c>
      <c r="E61" s="126">
        <v>0.989</v>
      </c>
      <c r="F61" s="130">
        <f t="shared" si="0"/>
        <v>0.026871323719926482</v>
      </c>
      <c r="G61" s="130">
        <v>0.02612</v>
      </c>
      <c r="H61" s="130">
        <v>0.02765</v>
      </c>
      <c r="I61" s="131">
        <f t="shared" si="1"/>
        <v>5.659065000000001</v>
      </c>
    </row>
    <row r="62" spans="1:9" ht="13.5">
      <c r="A62" s="126">
        <v>0.93</v>
      </c>
      <c r="B62" s="131">
        <f t="shared" si="2"/>
        <v>0.6789465000000001</v>
      </c>
      <c r="C62" s="128"/>
      <c r="D62" s="121"/>
      <c r="E62" s="126">
        <v>1.024</v>
      </c>
      <c r="F62" s="130">
        <f t="shared" si="0"/>
        <v>0.025165651766840616</v>
      </c>
      <c r="G62" s="130">
        <v>0.02443</v>
      </c>
      <c r="H62" s="130">
        <v>0.02594</v>
      </c>
      <c r="I62" s="131">
        <f t="shared" si="1"/>
        <v>6.042623850000002</v>
      </c>
    </row>
    <row r="63" spans="1:9" ht="13.5">
      <c r="A63" s="129">
        <v>0.95</v>
      </c>
      <c r="B63" s="131">
        <f t="shared" si="2"/>
        <v>0.7084625</v>
      </c>
      <c r="C63" s="128" t="s">
        <v>191</v>
      </c>
      <c r="D63" s="121" t="s">
        <v>191</v>
      </c>
      <c r="E63" s="126">
        <v>1.044</v>
      </c>
      <c r="F63" s="130">
        <f t="shared" si="0"/>
        <v>0.024117199128133465</v>
      </c>
      <c r="G63" s="130">
        <v>0.02342</v>
      </c>
      <c r="H63" s="130">
        <v>0.02484</v>
      </c>
      <c r="I63" s="131">
        <f t="shared" si="1"/>
        <v>6.30531625</v>
      </c>
    </row>
    <row r="64" spans="1:9" ht="13.5">
      <c r="A64" s="126">
        <v>1</v>
      </c>
      <c r="B64" s="131">
        <f t="shared" si="2"/>
        <v>0.785</v>
      </c>
      <c r="C64" s="128">
        <v>18</v>
      </c>
      <c r="D64" s="121">
        <v>19</v>
      </c>
      <c r="E64" s="126">
        <v>1.094</v>
      </c>
      <c r="F64" s="130">
        <f t="shared" si="0"/>
        <v>0.021765772213140452</v>
      </c>
      <c r="G64" s="130">
        <v>0.02116</v>
      </c>
      <c r="H64" s="130">
        <v>0.0224</v>
      </c>
      <c r="I64" s="131">
        <f t="shared" si="1"/>
        <v>6.986500000000001</v>
      </c>
    </row>
    <row r="65" spans="1:9" ht="13.5">
      <c r="A65" s="126">
        <v>1.04</v>
      </c>
      <c r="B65" s="131">
        <f t="shared" si="2"/>
        <v>0.849056</v>
      </c>
      <c r="C65" s="128"/>
      <c r="D65" s="121"/>
      <c r="E65" s="126">
        <v>1.137</v>
      </c>
      <c r="F65" s="130">
        <f t="shared" si="0"/>
        <v>0.02012367993078814</v>
      </c>
      <c r="G65" s="130">
        <v>0.01955</v>
      </c>
      <c r="H65" s="130">
        <v>0.02074</v>
      </c>
      <c r="I65" s="131">
        <f t="shared" si="1"/>
        <v>7.556598400000001</v>
      </c>
    </row>
    <row r="66" spans="1:9" ht="13.5">
      <c r="A66" s="126">
        <v>1.05</v>
      </c>
      <c r="B66" s="131">
        <f t="shared" si="2"/>
        <v>0.8654625</v>
      </c>
      <c r="C66" s="128"/>
      <c r="D66" s="121"/>
      <c r="E66" s="126">
        <v>0.148</v>
      </c>
      <c r="F66" s="130">
        <f t="shared" si="0"/>
        <v>0.019742197018721496</v>
      </c>
      <c r="G66" s="130">
        <v>0.922</v>
      </c>
      <c r="H66" s="130">
        <v>1.016</v>
      </c>
      <c r="I66" s="131">
        <f t="shared" si="1"/>
        <v>7.702616250000001</v>
      </c>
    </row>
    <row r="67" spans="1:9" ht="13.5">
      <c r="A67" s="129">
        <v>1.06</v>
      </c>
      <c r="B67" s="131">
        <f t="shared" si="2"/>
        <v>0.8820260000000001</v>
      </c>
      <c r="C67" s="128" t="s">
        <v>191</v>
      </c>
      <c r="D67" s="121" t="s">
        <v>191</v>
      </c>
      <c r="E67" s="126">
        <v>1.157</v>
      </c>
      <c r="F67" s="130">
        <f t="shared" si="0"/>
        <v>0.019371459783855866</v>
      </c>
      <c r="G67" s="132">
        <f>1/59/B67</f>
        <v>0.019216159775758173</v>
      </c>
      <c r="H67" s="132">
        <f>1/58/B67</f>
        <v>0.019547472875340213</v>
      </c>
      <c r="I67" s="131">
        <f t="shared" si="1"/>
        <v>7.8500314000000015</v>
      </c>
    </row>
    <row r="68" spans="1:9" ht="13.5">
      <c r="A68" s="126">
        <v>1.12</v>
      </c>
      <c r="B68" s="131">
        <f t="shared" si="2"/>
        <v>0.9847040000000002</v>
      </c>
      <c r="C68" s="128">
        <v>17</v>
      </c>
      <c r="D68" s="121">
        <v>18</v>
      </c>
      <c r="E68" s="126">
        <v>1.217</v>
      </c>
      <c r="F68" s="130">
        <f t="shared" si="0"/>
        <v>0.017351540348485687</v>
      </c>
      <c r="G68" s="132">
        <f aca="true" t="shared" si="3" ref="G68:G84">1/59/B68</f>
        <v>0.017212433931793593</v>
      </c>
      <c r="H68" s="132">
        <f aca="true" t="shared" si="4" ref="H68:H84">1/58/B68</f>
        <v>0.017509200034065895</v>
      </c>
      <c r="I68" s="131">
        <f t="shared" si="1"/>
        <v>8.763865600000003</v>
      </c>
    </row>
    <row r="69" spans="1:9" ht="13.5">
      <c r="A69" s="129">
        <v>1.18</v>
      </c>
      <c r="B69" s="126">
        <f t="shared" si="2"/>
        <v>1.093034</v>
      </c>
      <c r="C69" s="128" t="s">
        <v>191</v>
      </c>
      <c r="D69" s="121" t="s">
        <v>191</v>
      </c>
      <c r="E69" s="126">
        <v>1.279</v>
      </c>
      <c r="F69" s="130">
        <f t="shared" si="0"/>
        <v>0.015631838705214344</v>
      </c>
      <c r="G69" s="132">
        <f t="shared" si="3"/>
        <v>0.015506519049153896</v>
      </c>
      <c r="H69" s="132">
        <f t="shared" si="4"/>
        <v>0.015773872825863445</v>
      </c>
      <c r="I69" s="131">
        <f t="shared" si="1"/>
        <v>9.728002600000002</v>
      </c>
    </row>
    <row r="70" spans="1:9" ht="13.5">
      <c r="A70" s="126">
        <v>1.25</v>
      </c>
      <c r="B70" s="126">
        <f t="shared" si="2"/>
        <v>1.2265625</v>
      </c>
      <c r="C70" s="128">
        <v>16</v>
      </c>
      <c r="D70" s="121" t="s">
        <v>191</v>
      </c>
      <c r="E70" s="126">
        <v>1.349</v>
      </c>
      <c r="F70" s="130">
        <f t="shared" si="0"/>
        <v>0.013930094216409889</v>
      </c>
      <c r="G70" s="132">
        <f t="shared" si="3"/>
        <v>0.013818417359386808</v>
      </c>
      <c r="H70" s="132">
        <f t="shared" si="4"/>
        <v>0.01405666593454865</v>
      </c>
      <c r="I70" s="126">
        <f t="shared" si="1"/>
        <v>10.91640625</v>
      </c>
    </row>
    <row r="71" spans="1:9" ht="13.5">
      <c r="A71" s="126">
        <v>1.3</v>
      </c>
      <c r="B71" s="126">
        <f t="shared" si="2"/>
        <v>1.3266500000000003</v>
      </c>
      <c r="C71" s="128"/>
      <c r="D71" s="121"/>
      <c r="E71" s="126">
        <v>1.402</v>
      </c>
      <c r="F71" s="130">
        <f t="shared" si="0"/>
        <v>0.012879155155704406</v>
      </c>
      <c r="G71" s="132">
        <v>0.01252</v>
      </c>
      <c r="H71" s="132">
        <v>0.01326</v>
      </c>
      <c r="I71" s="126">
        <f t="shared" si="1"/>
        <v>11.807185000000002</v>
      </c>
    </row>
    <row r="72" spans="1:9" ht="13.5">
      <c r="A72" s="129">
        <v>1.32</v>
      </c>
      <c r="B72" s="126">
        <f t="shared" si="2"/>
        <v>1.367784</v>
      </c>
      <c r="C72" s="128" t="s">
        <v>191</v>
      </c>
      <c r="D72" s="121" t="s">
        <v>191</v>
      </c>
      <c r="E72" s="126">
        <v>1.422</v>
      </c>
      <c r="F72" s="130">
        <f t="shared" si="0"/>
        <v>0.012491834373932765</v>
      </c>
      <c r="G72" s="132">
        <f t="shared" si="3"/>
        <v>0.012391687972934965</v>
      </c>
      <c r="H72" s="132">
        <f t="shared" si="4"/>
        <v>0.012605337765571776</v>
      </c>
      <c r="I72" s="126">
        <f t="shared" si="1"/>
        <v>12.1732776</v>
      </c>
    </row>
    <row r="73" spans="1:9" ht="13.5">
      <c r="A73" s="126">
        <v>1.4</v>
      </c>
      <c r="B73" s="126">
        <f t="shared" si="2"/>
        <v>1.5386</v>
      </c>
      <c r="C73" s="128">
        <v>15</v>
      </c>
      <c r="D73" s="121">
        <v>17</v>
      </c>
      <c r="E73" s="126">
        <v>1.502</v>
      </c>
      <c r="F73" s="130">
        <f t="shared" si="0"/>
        <v>0.011104985823030843</v>
      </c>
      <c r="G73" s="132">
        <f t="shared" si="3"/>
        <v>0.011015957716347901</v>
      </c>
      <c r="H73" s="132">
        <f t="shared" si="4"/>
        <v>0.011205888021802175</v>
      </c>
      <c r="I73" s="126">
        <f t="shared" si="1"/>
        <v>13.69354</v>
      </c>
    </row>
    <row r="74" spans="1:9" ht="13.5">
      <c r="A74" s="129">
        <v>1.5</v>
      </c>
      <c r="B74" s="126">
        <f t="shared" si="2"/>
        <v>1.7662499999999999</v>
      </c>
      <c r="C74" s="128" t="s">
        <v>191</v>
      </c>
      <c r="D74" s="121" t="s">
        <v>191</v>
      </c>
      <c r="E74" s="126">
        <v>1.606</v>
      </c>
      <c r="F74" s="127">
        <f t="shared" si="0"/>
        <v>0.009673676539173535</v>
      </c>
      <c r="G74" s="132">
        <f t="shared" si="3"/>
        <v>0.009596123166240839</v>
      </c>
      <c r="H74" s="132">
        <f t="shared" si="4"/>
        <v>0.009761573565658785</v>
      </c>
      <c r="I74" s="126">
        <f t="shared" si="1"/>
        <v>15.719624999999999</v>
      </c>
    </row>
    <row r="75" spans="1:9" ht="13.5">
      <c r="A75" s="126">
        <v>1.6</v>
      </c>
      <c r="B75" s="126">
        <f t="shared" si="2"/>
        <v>2.0096000000000003</v>
      </c>
      <c r="C75" s="128">
        <v>14</v>
      </c>
      <c r="D75" s="121">
        <v>16</v>
      </c>
      <c r="E75" s="126">
        <v>1.706</v>
      </c>
      <c r="F75" s="127">
        <f t="shared" si="0"/>
        <v>0.008502254770757988</v>
      </c>
      <c r="G75" s="132">
        <f t="shared" si="3"/>
        <v>0.00843409262657886</v>
      </c>
      <c r="H75" s="132">
        <f t="shared" si="4"/>
        <v>0.00857950801669229</v>
      </c>
      <c r="I75" s="126">
        <f t="shared" si="1"/>
        <v>17.885440000000003</v>
      </c>
    </row>
    <row r="76" spans="1:9" ht="13.5">
      <c r="A76" s="129">
        <v>1.7</v>
      </c>
      <c r="B76" s="126">
        <f t="shared" si="2"/>
        <v>2.26865</v>
      </c>
      <c r="C76" s="128" t="s">
        <v>191</v>
      </c>
      <c r="D76" s="121" t="s">
        <v>191</v>
      </c>
      <c r="E76" s="126">
        <v>1.809</v>
      </c>
      <c r="F76" s="127">
        <f t="shared" si="0"/>
        <v>0.007531409070290813</v>
      </c>
      <c r="G76" s="132">
        <f t="shared" si="3"/>
        <v>0.007471030146727296</v>
      </c>
      <c r="H76" s="132">
        <f t="shared" si="4"/>
        <v>0.007599841011326043</v>
      </c>
      <c r="I76" s="126">
        <f t="shared" si="1"/>
        <v>20.190985</v>
      </c>
    </row>
    <row r="77" spans="1:9" ht="13.5">
      <c r="A77" s="129">
        <v>1.74</v>
      </c>
      <c r="B77" s="126">
        <f t="shared" si="2"/>
        <v>2.376666</v>
      </c>
      <c r="C77" s="128"/>
      <c r="D77" s="121"/>
      <c r="E77" s="126">
        <v>1.849</v>
      </c>
      <c r="F77" s="127">
        <f t="shared" si="0"/>
        <v>0.007189117523167013</v>
      </c>
      <c r="G77" s="132">
        <v>0.006985</v>
      </c>
      <c r="H77" s="132">
        <v>0.007406</v>
      </c>
      <c r="I77" s="126">
        <f t="shared" si="1"/>
        <v>21.1523274</v>
      </c>
    </row>
    <row r="78" spans="1:9" ht="13.5">
      <c r="A78" s="126">
        <v>1.8</v>
      </c>
      <c r="B78" s="126">
        <f t="shared" si="2"/>
        <v>2.5434</v>
      </c>
      <c r="C78" s="128">
        <v>13</v>
      </c>
      <c r="D78" s="121">
        <v>15</v>
      </c>
      <c r="E78" s="126">
        <v>1.909</v>
      </c>
      <c r="F78" s="127">
        <f t="shared" si="0"/>
        <v>0.0067178309299816205</v>
      </c>
      <c r="G78" s="132">
        <f t="shared" si="3"/>
        <v>0.006663974421000582</v>
      </c>
      <c r="H78" s="132">
        <f t="shared" si="4"/>
        <v>0.006778870531707489</v>
      </c>
      <c r="I78" s="126">
        <f t="shared" si="1"/>
        <v>22.636260000000004</v>
      </c>
    </row>
    <row r="79" spans="1:9" ht="13.5">
      <c r="A79" s="129">
        <v>1.9</v>
      </c>
      <c r="B79" s="126">
        <f t="shared" si="2"/>
        <v>2.83385</v>
      </c>
      <c r="C79" s="128" t="s">
        <v>191</v>
      </c>
      <c r="D79" s="121" t="s">
        <v>191</v>
      </c>
      <c r="E79" s="126">
        <v>2.012</v>
      </c>
      <c r="F79" s="127">
        <f aca="true" t="shared" si="5" ref="F79:F84">1/58.527/B79</f>
        <v>0.006029299782033366</v>
      </c>
      <c r="G79" s="132">
        <f t="shared" si="3"/>
        <v>0.00598096319225537</v>
      </c>
      <c r="H79" s="132">
        <f t="shared" si="4"/>
        <v>0.006084083247294256</v>
      </c>
      <c r="I79" s="126">
        <f aca="true" t="shared" si="6" ref="I79:I84">B79/100*100000*8.9/1000</f>
        <v>25.221265</v>
      </c>
    </row>
    <row r="80" spans="1:9" ht="13.5">
      <c r="A80" s="126">
        <v>2</v>
      </c>
      <c r="B80" s="126">
        <f t="shared" si="2"/>
        <v>3.14</v>
      </c>
      <c r="C80" s="128">
        <v>12</v>
      </c>
      <c r="D80" s="121">
        <v>14</v>
      </c>
      <c r="E80" s="126">
        <v>2.112</v>
      </c>
      <c r="F80" s="127">
        <f t="shared" si="5"/>
        <v>0.005441443053285113</v>
      </c>
      <c r="G80" s="132">
        <f t="shared" si="3"/>
        <v>0.005397819281010472</v>
      </c>
      <c r="H80" s="132">
        <f t="shared" si="4"/>
        <v>0.005490885130683066</v>
      </c>
      <c r="I80" s="126">
        <f t="shared" si="6"/>
        <v>27.946000000000005</v>
      </c>
    </row>
    <row r="81" spans="1:9" ht="13.5">
      <c r="A81" s="129">
        <v>2.12</v>
      </c>
      <c r="B81" s="126">
        <f t="shared" si="2"/>
        <v>3.5281040000000004</v>
      </c>
      <c r="C81" s="128" t="s">
        <v>191</v>
      </c>
      <c r="D81" s="121" t="s">
        <v>191</v>
      </c>
      <c r="E81" s="126">
        <v>2.235</v>
      </c>
      <c r="F81" s="127">
        <f t="shared" si="5"/>
        <v>0.0048428649459639666</v>
      </c>
      <c r="G81" s="132">
        <f t="shared" si="3"/>
        <v>0.004804039943939543</v>
      </c>
      <c r="H81" s="132">
        <f t="shared" si="4"/>
        <v>0.004886868218835053</v>
      </c>
      <c r="I81" s="126">
        <f t="shared" si="6"/>
        <v>31.400125600000006</v>
      </c>
    </row>
    <row r="82" spans="1:9" ht="13.5">
      <c r="A82" s="126">
        <v>2.24</v>
      </c>
      <c r="B82" s="126">
        <f t="shared" si="2"/>
        <v>3.938816000000001</v>
      </c>
      <c r="C82" s="128">
        <v>11</v>
      </c>
      <c r="D82" s="121">
        <v>13</v>
      </c>
      <c r="E82" s="126">
        <v>2.355</v>
      </c>
      <c r="F82" s="127">
        <f t="shared" si="5"/>
        <v>0.004337885087121422</v>
      </c>
      <c r="G82" s="132">
        <f t="shared" si="3"/>
        <v>0.004303108482948398</v>
      </c>
      <c r="H82" s="132">
        <f t="shared" si="4"/>
        <v>0.004377300008516474</v>
      </c>
      <c r="I82" s="126">
        <f t="shared" si="6"/>
        <v>35.05546240000001</v>
      </c>
    </row>
    <row r="83" spans="1:9" ht="13.5">
      <c r="A83" s="129">
        <v>2.36</v>
      </c>
      <c r="B83" s="126">
        <f t="shared" si="2"/>
        <v>4.372136</v>
      </c>
      <c r="C83" s="128" t="s">
        <v>191</v>
      </c>
      <c r="D83" s="121" t="s">
        <v>191</v>
      </c>
      <c r="E83" s="126">
        <v>2.478</v>
      </c>
      <c r="F83" s="127">
        <f t="shared" si="5"/>
        <v>0.003907959676303586</v>
      </c>
      <c r="G83" s="132">
        <f t="shared" si="3"/>
        <v>0.003876629762288474</v>
      </c>
      <c r="H83" s="132">
        <f t="shared" si="4"/>
        <v>0.003943468206465861</v>
      </c>
      <c r="I83" s="126">
        <f t="shared" si="6"/>
        <v>38.91201040000001</v>
      </c>
    </row>
    <row r="84" spans="1:9" ht="13.5">
      <c r="A84" s="126">
        <v>2.5</v>
      </c>
      <c r="B84" s="126">
        <f t="shared" si="2"/>
        <v>4.90625</v>
      </c>
      <c r="C84" s="128">
        <v>10</v>
      </c>
      <c r="D84" s="121">
        <v>12</v>
      </c>
      <c r="E84" s="126">
        <v>2.618</v>
      </c>
      <c r="F84" s="127">
        <f t="shared" si="5"/>
        <v>0.003482523554102472</v>
      </c>
      <c r="G84" s="132">
        <f t="shared" si="3"/>
        <v>0.003454604339846702</v>
      </c>
      <c r="H84" s="132">
        <f t="shared" si="4"/>
        <v>0.0035141664836371624</v>
      </c>
      <c r="I84" s="126">
        <f t="shared" si="6"/>
        <v>43.665625</v>
      </c>
    </row>
    <row r="85" spans="1:9" ht="14.25">
      <c r="A85" s="133"/>
      <c r="B85" s="133"/>
      <c r="C85" s="128"/>
      <c r="D85" s="121"/>
      <c r="E85" s="133"/>
      <c r="F85" s="133"/>
      <c r="G85" s="133"/>
      <c r="H85" s="133"/>
      <c r="I85" s="133"/>
    </row>
    <row r="86" spans="1:9" ht="14.25">
      <c r="A86" s="133"/>
      <c r="B86" s="133"/>
      <c r="C86" s="128"/>
      <c r="D86" s="121"/>
      <c r="E86" s="133"/>
      <c r="F86" s="133"/>
      <c r="G86" s="133"/>
      <c r="H86" s="133"/>
      <c r="I86" s="133"/>
    </row>
  </sheetData>
  <sheetProtection/>
  <mergeCells count="1"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2015-08-18T00:52:43Z</dcterms:modified>
  <cp:category/>
  <cp:version/>
  <cp:contentType/>
  <cp:contentStatus/>
</cp:coreProperties>
</file>