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<sst xmlns="http://schemas.openxmlformats.org/spreadsheetml/2006/main" count="206" uniqueCount="198">
  <si>
    <t>输入参数</t>
  </si>
  <si>
    <t>输出参数</t>
  </si>
  <si>
    <t>最小输入电压（V）</t>
  </si>
  <si>
    <t>最大输入电压（V）</t>
  </si>
  <si>
    <t>输出电压（V）</t>
  </si>
  <si>
    <t>输出电流（A）</t>
  </si>
  <si>
    <t>输入电压频率(Hz)</t>
  </si>
  <si>
    <t>PWM频率（kHz）</t>
  </si>
  <si>
    <t>辅助计算参数</t>
  </si>
  <si>
    <t>输出功率(W)</t>
  </si>
  <si>
    <t>输入功率(W)</t>
  </si>
  <si>
    <t>效率（%）最低压时</t>
  </si>
  <si>
    <r>
      <t>(Vdc_min)</t>
    </r>
    <r>
      <rPr>
        <vertAlign val="superscript"/>
        <sz val="12"/>
        <rFont val="宋体"/>
        <family val="0"/>
      </rPr>
      <t>2</t>
    </r>
  </si>
  <si>
    <t>输入电容(uF)</t>
  </si>
  <si>
    <t>Tc(S)</t>
  </si>
  <si>
    <t>AA</t>
  </si>
  <si>
    <t>BB</t>
  </si>
  <si>
    <t>T/2（S）</t>
  </si>
  <si>
    <t>Dmax</t>
  </si>
  <si>
    <t>Ton_max</t>
  </si>
  <si>
    <t>Np_max（初级匝数T）</t>
  </si>
  <si>
    <t>Np_min（初级匝数T）</t>
  </si>
  <si>
    <t>Ns_max对应次级匝数(T)</t>
  </si>
  <si>
    <t>Ns_min对应次级匝数(T)</t>
  </si>
  <si>
    <t>辅助电压Vcc（V）</t>
  </si>
  <si>
    <r>
      <t>另一组次级Vs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（V）</t>
    </r>
  </si>
  <si>
    <t>对应匝数(T)</t>
  </si>
  <si>
    <t>备注</t>
  </si>
  <si>
    <t>变压器体积最小</t>
  </si>
  <si>
    <t>变压器体积最大</t>
  </si>
  <si>
    <t>Lp(mH)</t>
  </si>
  <si>
    <t>Bmax(T)</t>
  </si>
  <si>
    <t>备注</t>
  </si>
  <si>
    <r>
      <t>V</t>
    </r>
    <r>
      <rPr>
        <vertAlign val="subscript"/>
        <sz val="12"/>
        <rFont val="宋体"/>
        <family val="0"/>
      </rPr>
      <t>(BR)VCC</t>
    </r>
    <r>
      <rPr>
        <sz val="12"/>
        <rFont val="宋体"/>
        <family val="0"/>
      </rPr>
      <t>(V)</t>
    </r>
  </si>
  <si>
    <r>
      <t>V</t>
    </r>
    <r>
      <rPr>
        <vertAlign val="subscript"/>
        <sz val="12"/>
        <rFont val="宋体"/>
        <family val="0"/>
      </rPr>
      <t>(BR)S2</t>
    </r>
    <r>
      <rPr>
        <sz val="12"/>
        <rFont val="宋体"/>
        <family val="0"/>
      </rPr>
      <t>(V)</t>
    </r>
  </si>
  <si>
    <t>Vds_max(V)</t>
  </si>
  <si>
    <t>V(BR)S(V)：次级整流管的最高反向峰值电压。</t>
  </si>
  <si>
    <r>
      <t>V</t>
    </r>
    <r>
      <rPr>
        <vertAlign val="subscript"/>
        <sz val="12"/>
        <rFont val="宋体"/>
        <family val="0"/>
      </rPr>
      <t>(BR)S2</t>
    </r>
    <r>
      <rPr>
        <sz val="12"/>
        <rFont val="宋体"/>
        <family val="0"/>
      </rPr>
      <t>(V)：第二组次级整流管的最高反向峰值电压。</t>
    </r>
  </si>
  <si>
    <r>
      <t>V</t>
    </r>
    <r>
      <rPr>
        <vertAlign val="subscript"/>
        <sz val="12"/>
        <rFont val="宋体"/>
        <family val="0"/>
      </rPr>
      <t>(BR)VCC</t>
    </r>
    <r>
      <rPr>
        <sz val="12"/>
        <rFont val="宋体"/>
        <family val="0"/>
      </rPr>
      <t>(V)：反馈电路整流管的最高反向峰值电压。</t>
    </r>
  </si>
  <si>
    <r>
      <t>Ipk_</t>
    </r>
    <r>
      <rPr>
        <vertAlign val="subscript"/>
        <sz val="12"/>
        <rFont val="宋体"/>
        <family val="0"/>
      </rPr>
      <t>RMS</t>
    </r>
    <r>
      <rPr>
        <sz val="12"/>
        <rFont val="宋体"/>
        <family val="0"/>
      </rPr>
      <t>(A)：原边（初级）电流有效值。</t>
    </r>
  </si>
  <si>
    <r>
      <t>Is_</t>
    </r>
    <r>
      <rPr>
        <vertAlign val="subscript"/>
        <sz val="12"/>
        <rFont val="宋体"/>
        <family val="0"/>
      </rPr>
      <t>RMS</t>
    </r>
    <r>
      <rPr>
        <sz val="12"/>
        <rFont val="宋体"/>
        <family val="0"/>
      </rPr>
      <t>(A)：副边（次级）电流有效值。</t>
    </r>
  </si>
  <si>
    <t>Vds_max(V)：MOSFET最大峰值电压。</t>
  </si>
  <si>
    <r>
      <t>Ae(mm</t>
    </r>
    <r>
      <rPr>
        <vertAlign val="superscript"/>
        <sz val="12"/>
        <color indexed="12"/>
        <rFont val="宋体"/>
        <family val="0"/>
      </rPr>
      <t>2</t>
    </r>
    <r>
      <rPr>
        <sz val="12"/>
        <color indexed="12"/>
        <rFont val="宋体"/>
        <family val="0"/>
      </rPr>
      <t>)</t>
    </r>
  </si>
  <si>
    <r>
      <t>Ae(mm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)：磁芯有效横截面积。</t>
    </r>
  </si>
  <si>
    <r>
      <t>AL(uH/T</t>
    </r>
    <r>
      <rPr>
        <vertAlign val="superscript"/>
        <sz val="12"/>
        <color indexed="12"/>
        <rFont val="宋体"/>
        <family val="0"/>
      </rPr>
      <t>2</t>
    </r>
    <r>
      <rPr>
        <sz val="12"/>
        <color indexed="12"/>
        <rFont val="宋体"/>
        <family val="0"/>
      </rPr>
      <t>)</t>
    </r>
  </si>
  <si>
    <t>σ(气隙宽度)（mm）</t>
  </si>
  <si>
    <r>
      <t>A</t>
    </r>
    <r>
      <rPr>
        <vertAlign val="subscript"/>
        <sz val="12"/>
        <rFont val="宋体"/>
        <family val="0"/>
      </rPr>
      <t>LG</t>
    </r>
    <r>
      <rPr>
        <sz val="12"/>
        <rFont val="宋体"/>
        <family val="0"/>
      </rPr>
      <t>(气隙电感)（uH/T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）</t>
    </r>
  </si>
  <si>
    <r>
      <t>I</t>
    </r>
    <r>
      <rPr>
        <vertAlign val="subscript"/>
        <sz val="12"/>
        <rFont val="宋体"/>
        <family val="0"/>
      </rPr>
      <t>RI</t>
    </r>
    <r>
      <rPr>
        <sz val="12"/>
        <rFont val="宋体"/>
        <family val="0"/>
      </rPr>
      <t>(A):输出滤波电容上的纹波电流</t>
    </r>
  </si>
  <si>
    <t>Dsm(mm):次级裸导线直径</t>
  </si>
  <si>
    <r>
      <t>Dsm</t>
    </r>
    <r>
      <rPr>
        <sz val="12"/>
        <rFont val="宋体"/>
        <family val="0"/>
      </rPr>
      <t>(</t>
    </r>
    <r>
      <rPr>
        <sz val="12"/>
        <rFont val="宋体"/>
        <family val="0"/>
      </rPr>
      <t>mm</t>
    </r>
    <r>
      <rPr>
        <sz val="12"/>
        <rFont val="宋体"/>
        <family val="0"/>
      </rPr>
      <t>)</t>
    </r>
  </si>
  <si>
    <t>Dsm(mm)建议</t>
  </si>
  <si>
    <t>建议输入电容(uF)</t>
  </si>
  <si>
    <t>理论分析：</t>
  </si>
  <si>
    <t>实际验算：</t>
  </si>
  <si>
    <t>输出管压降（V）</t>
  </si>
  <si>
    <t>匝数比_N</t>
  </si>
  <si>
    <t>Ns_set（次级匝数T）</t>
  </si>
  <si>
    <t>Np_set对应初级匝数(T)</t>
  </si>
  <si>
    <t>Np_real初级匝数(T)</t>
  </si>
  <si>
    <t>Ns_real（次级匝数T）</t>
  </si>
  <si>
    <t>Np_best（初级匝数T）</t>
  </si>
  <si>
    <t>输出功率大于30W时</t>
  </si>
  <si>
    <t>实际变压器参数：</t>
  </si>
  <si>
    <t>Np</t>
  </si>
  <si>
    <t>Ns</t>
  </si>
  <si>
    <t>Nvcc</t>
  </si>
  <si>
    <t>Ns2</t>
  </si>
  <si>
    <t>Lp(mH)</t>
  </si>
  <si>
    <t>VCC(V)</t>
  </si>
  <si>
    <r>
      <t>V</t>
    </r>
    <r>
      <rPr>
        <sz val="12"/>
        <rFont val="宋体"/>
        <family val="0"/>
      </rPr>
      <t>s2(V)</t>
    </r>
  </si>
  <si>
    <t>Vs(V)</t>
  </si>
  <si>
    <t>Np_best</t>
  </si>
  <si>
    <t>Ns_best对应次级匝数(T)</t>
  </si>
  <si>
    <t>Ns_best</t>
  </si>
  <si>
    <t>Nvcc_best</t>
  </si>
  <si>
    <t>Np_best</t>
  </si>
  <si>
    <t>Ns_best</t>
  </si>
  <si>
    <t>Nvcc_best</t>
  </si>
  <si>
    <t>30W&lt;X&lt;60W</t>
  </si>
  <si>
    <t>X&lt;30W</t>
  </si>
  <si>
    <t>变压器绕法快速选择：</t>
  </si>
  <si>
    <t>60W&lt;X&lt;75W</t>
  </si>
  <si>
    <r>
      <t>若Bmax&gt;0.3T时，变压器温度</t>
    </r>
    <r>
      <rPr>
        <b/>
        <u val="single"/>
        <sz val="12"/>
        <color indexed="10"/>
        <rFont val="宋体"/>
        <family val="0"/>
      </rPr>
      <t>高</t>
    </r>
    <r>
      <rPr>
        <sz val="12"/>
        <rFont val="宋体"/>
        <family val="0"/>
      </rPr>
      <t>，就要增大变压器横截面积或增加初级匝数Np。</t>
    </r>
  </si>
  <si>
    <r>
      <t>若Bmax&lt;0.2T时，变压器温度</t>
    </r>
    <r>
      <rPr>
        <b/>
        <u val="single"/>
        <sz val="12"/>
        <color indexed="10"/>
        <rFont val="宋体"/>
        <family val="0"/>
      </rPr>
      <t>低</t>
    </r>
    <r>
      <rPr>
        <sz val="12"/>
        <rFont val="宋体"/>
        <family val="0"/>
      </rPr>
      <t>，就要减小变压器横截面积或减少初级匝数Np。</t>
    </r>
  </si>
  <si>
    <t>Vdc_min:最小输入电压。（整流滤波后的最低电压,通常不低于76V。）</t>
  </si>
  <si>
    <t>Dmax（实际）</t>
  </si>
  <si>
    <t>Ipk(A)满载</t>
  </si>
  <si>
    <t>Bmax实际(T)</t>
  </si>
  <si>
    <t>Bmax：最大磁通密度。一般取0.2T~0.3T之间。</t>
  </si>
  <si>
    <t>(查表得Bsat=0.39T，当f&lt;100kHz时,Bm=0.4Bsat=0.16T)</t>
  </si>
  <si>
    <r>
      <t>V</t>
    </r>
    <r>
      <rPr>
        <vertAlign val="subscript"/>
        <sz val="12"/>
        <rFont val="宋体"/>
        <family val="0"/>
      </rPr>
      <t>(BR)</t>
    </r>
    <r>
      <rPr>
        <vertAlign val="subscript"/>
        <sz val="12"/>
        <rFont val="宋体"/>
        <family val="0"/>
      </rPr>
      <t>S</t>
    </r>
    <r>
      <rPr>
        <sz val="12"/>
        <rFont val="宋体"/>
        <family val="0"/>
      </rPr>
      <t>(V)</t>
    </r>
  </si>
  <si>
    <t>Vds(V)(无尖峰时）</t>
  </si>
  <si>
    <r>
      <t>V</t>
    </r>
    <r>
      <rPr>
        <b/>
        <vertAlign val="subscript"/>
        <sz val="12"/>
        <color indexed="10"/>
        <rFont val="宋体"/>
        <family val="0"/>
      </rPr>
      <t>(BR)S</t>
    </r>
    <r>
      <rPr>
        <b/>
        <vertAlign val="subscript"/>
        <sz val="12"/>
        <color indexed="10"/>
        <rFont val="宋体"/>
        <family val="0"/>
      </rPr>
      <t>_</t>
    </r>
    <r>
      <rPr>
        <b/>
        <sz val="12"/>
        <color indexed="10"/>
        <rFont val="宋体"/>
        <family val="0"/>
      </rPr>
      <t>max</t>
    </r>
    <r>
      <rPr>
        <b/>
        <sz val="12"/>
        <color indexed="10"/>
        <rFont val="宋体"/>
        <family val="0"/>
      </rPr>
      <t>(V)</t>
    </r>
  </si>
  <si>
    <t>Lp(mH)实际</t>
  </si>
  <si>
    <t>Ipk(A)实际满载</t>
  </si>
  <si>
    <t>Ipk(mA)实际满载</t>
  </si>
  <si>
    <r>
      <t>Ipk_</t>
    </r>
    <r>
      <rPr>
        <vertAlign val="subscript"/>
        <sz val="12"/>
        <rFont val="宋体"/>
        <family val="0"/>
      </rPr>
      <t>RMS</t>
    </r>
    <r>
      <rPr>
        <sz val="12"/>
        <rFont val="宋体"/>
        <family val="0"/>
      </rPr>
      <t>(</t>
    </r>
    <r>
      <rPr>
        <sz val="12"/>
        <rFont val="宋体"/>
        <family val="0"/>
      </rPr>
      <t>A</t>
    </r>
    <r>
      <rPr>
        <sz val="12"/>
        <rFont val="宋体"/>
        <family val="0"/>
      </rPr>
      <t>)实际</t>
    </r>
  </si>
  <si>
    <r>
      <t>Is_</t>
    </r>
    <r>
      <rPr>
        <vertAlign val="subscript"/>
        <sz val="12"/>
        <rFont val="宋体"/>
        <family val="0"/>
      </rPr>
      <t>RMS</t>
    </r>
    <r>
      <rPr>
        <sz val="12"/>
        <rFont val="宋体"/>
        <family val="0"/>
      </rPr>
      <t>(</t>
    </r>
    <r>
      <rPr>
        <sz val="12"/>
        <rFont val="宋体"/>
        <family val="0"/>
      </rPr>
      <t>A</t>
    </r>
    <r>
      <rPr>
        <sz val="12"/>
        <rFont val="宋体"/>
        <family val="0"/>
      </rPr>
      <t>)实际</t>
    </r>
  </si>
  <si>
    <r>
      <t>I</t>
    </r>
    <r>
      <rPr>
        <vertAlign val="subscript"/>
        <sz val="12"/>
        <rFont val="宋体"/>
        <family val="0"/>
      </rPr>
      <t>RI</t>
    </r>
    <r>
      <rPr>
        <sz val="12"/>
        <rFont val="宋体"/>
        <family val="0"/>
      </rPr>
      <t>(</t>
    </r>
    <r>
      <rPr>
        <sz val="12"/>
        <rFont val="宋体"/>
        <family val="0"/>
      </rPr>
      <t>A</t>
    </r>
    <r>
      <rPr>
        <sz val="12"/>
        <rFont val="宋体"/>
        <family val="0"/>
      </rPr>
      <t>)实际</t>
    </r>
  </si>
  <si>
    <r>
      <t>K</t>
    </r>
    <r>
      <rPr>
        <sz val="12"/>
        <rFont val="宋体"/>
        <family val="0"/>
      </rPr>
      <t>(CCM系数）</t>
    </r>
  </si>
  <si>
    <t>当DCM时，K为1</t>
  </si>
  <si>
    <r>
      <rPr>
        <b/>
        <sz val="12"/>
        <rFont val="宋体"/>
        <family val="0"/>
      </rPr>
      <t>备注：</t>
    </r>
    <r>
      <rPr>
        <sz val="12"/>
        <rFont val="宋体"/>
        <family val="0"/>
      </rPr>
      <t xml:space="preserve">                                                                                                  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当f&lt;50kHz时,   Bmax=0.5Bmsat
当f&lt;100kHz时,  Bmax=0.4Bmsat
当f&lt;500kHz时,  Bmax=0.25Bmsat
当f&lt;1MHz时,    Bmax=0.1Bmsat
</t>
    </r>
  </si>
  <si>
    <t>如果是高压（220V），可以高一点80V(在70~90V)。</t>
  </si>
  <si>
    <t>小功率变压器（&lt;30W），也可以高一点。</t>
  </si>
  <si>
    <t>Ipk(mA)满载估计低压 (90V输入时）</t>
  </si>
  <si>
    <t>Ipk(mA)满载估计高压 (264V输入时）</t>
  </si>
  <si>
    <r>
      <t>V</t>
    </r>
    <r>
      <rPr>
        <b/>
        <vertAlign val="subscript"/>
        <sz val="12"/>
        <color indexed="10"/>
        <rFont val="宋体"/>
        <family val="0"/>
      </rPr>
      <t>(BR)S</t>
    </r>
    <r>
      <rPr>
        <b/>
        <sz val="12"/>
        <color indexed="10"/>
        <rFont val="宋体"/>
        <family val="0"/>
      </rPr>
      <t>(V)(无尖峰时）</t>
    </r>
  </si>
  <si>
    <r>
      <t>V</t>
    </r>
    <r>
      <rPr>
        <vertAlign val="subscript"/>
        <sz val="12"/>
        <rFont val="宋体"/>
        <family val="0"/>
      </rPr>
      <t>(BR)VCC</t>
    </r>
    <r>
      <rPr>
        <sz val="12"/>
        <rFont val="宋体"/>
        <family val="0"/>
      </rPr>
      <t>(V)</t>
    </r>
    <r>
      <rPr>
        <sz val="12"/>
        <rFont val="宋体"/>
        <family val="0"/>
      </rPr>
      <t>(</t>
    </r>
    <r>
      <rPr>
        <sz val="12"/>
        <rFont val="宋体"/>
        <family val="0"/>
      </rPr>
      <t>无尖峰时）</t>
    </r>
  </si>
  <si>
    <r>
      <t>V</t>
    </r>
    <r>
      <rPr>
        <vertAlign val="subscript"/>
        <sz val="12"/>
        <rFont val="宋体"/>
        <family val="0"/>
      </rPr>
      <t>(BR)S2</t>
    </r>
    <r>
      <rPr>
        <sz val="12"/>
        <rFont val="宋体"/>
        <family val="0"/>
      </rPr>
      <t>(V)</t>
    </r>
    <r>
      <rPr>
        <sz val="12"/>
        <rFont val="宋体"/>
        <family val="0"/>
      </rPr>
      <t>(</t>
    </r>
    <r>
      <rPr>
        <sz val="12"/>
        <rFont val="宋体"/>
        <family val="0"/>
      </rPr>
      <t>无尖峰时）</t>
    </r>
  </si>
  <si>
    <t>当前输出电压</t>
  </si>
  <si>
    <t>当前输入交流电压</t>
  </si>
  <si>
    <t>当前D占空比</t>
  </si>
  <si>
    <t>匝数比_N</t>
  </si>
  <si>
    <t>当前输入电容上的电压</t>
  </si>
  <si>
    <t>理论电容最高电压</t>
  </si>
  <si>
    <t xml:space="preserve"> </t>
  </si>
  <si>
    <t>当前VOR</t>
  </si>
  <si>
    <t>输入电流(A)高压时</t>
  </si>
  <si>
    <t>输入电流(A)低压时</t>
  </si>
  <si>
    <r>
      <t>输入电流(m</t>
    </r>
    <r>
      <rPr>
        <sz val="12"/>
        <rFont val="宋体"/>
        <family val="0"/>
      </rPr>
      <t>A)低压时</t>
    </r>
  </si>
  <si>
    <r>
      <t>输入电流(m</t>
    </r>
    <r>
      <rPr>
        <sz val="12"/>
        <rFont val="宋体"/>
        <family val="0"/>
      </rPr>
      <t>A)高压时</t>
    </r>
  </si>
  <si>
    <t>Vdc_min(V)</t>
  </si>
  <si>
    <t>Vdc_min(V)实际</t>
  </si>
  <si>
    <r>
      <t>V</t>
    </r>
    <r>
      <rPr>
        <vertAlign val="subscript"/>
        <sz val="12"/>
        <color indexed="12"/>
        <rFont val="宋体"/>
        <family val="0"/>
      </rPr>
      <t>OR</t>
    </r>
    <r>
      <rPr>
        <sz val="12"/>
        <color indexed="12"/>
        <rFont val="宋体"/>
        <family val="0"/>
      </rPr>
      <t>(V)反射电压</t>
    </r>
  </si>
  <si>
    <r>
      <t>V</t>
    </r>
    <r>
      <rPr>
        <vertAlign val="subscript"/>
        <sz val="12"/>
        <rFont val="宋体"/>
        <family val="0"/>
      </rPr>
      <t>OR</t>
    </r>
    <r>
      <rPr>
        <sz val="12"/>
        <rFont val="宋体"/>
        <family val="0"/>
      </rPr>
      <t>(V)反射电压(实际）</t>
    </r>
  </si>
  <si>
    <r>
      <t>V</t>
    </r>
    <r>
      <rPr>
        <vertAlign val="subscript"/>
        <sz val="12"/>
        <rFont val="宋体"/>
        <family val="0"/>
      </rPr>
      <t>OR</t>
    </r>
    <r>
      <rPr>
        <sz val="12"/>
        <rFont val="宋体"/>
        <family val="0"/>
      </rPr>
      <t>(V)在输入低压（110V)时，最好在60V或更低。</t>
    </r>
  </si>
  <si>
    <t>Dmax（参考）</t>
  </si>
  <si>
    <t>Bmax(T)实际满载</t>
  </si>
  <si>
    <t>损耗估算</t>
  </si>
  <si>
    <t>变压器总损耗</t>
  </si>
  <si>
    <t>MOS管损耗</t>
  </si>
  <si>
    <t>输出二极管损耗</t>
  </si>
  <si>
    <r>
      <t>变压器参数计算(CCM</t>
    </r>
    <r>
      <rPr>
        <b/>
        <sz val="22"/>
        <rFont val="宋体"/>
        <family val="0"/>
      </rPr>
      <t>反激</t>
    </r>
    <r>
      <rPr>
        <b/>
        <sz val="22"/>
        <rFont val="宋体"/>
        <family val="0"/>
      </rPr>
      <t>+损耗估算</t>
    </r>
    <r>
      <rPr>
        <b/>
        <sz val="22"/>
        <rFont val="宋体"/>
        <family val="0"/>
      </rPr>
      <t>)</t>
    </r>
  </si>
  <si>
    <t>反向电压Vr</t>
  </si>
  <si>
    <t>占空比D</t>
  </si>
  <si>
    <t>反向漏电流Ir</t>
  </si>
  <si>
    <t>反向恢复电流Irr</t>
  </si>
  <si>
    <t>反向恢复时间trr</t>
  </si>
  <si>
    <t>热阻Rt</t>
  </si>
  <si>
    <t>输出电流Io</t>
  </si>
  <si>
    <t>结电容C</t>
  </si>
  <si>
    <t>前向压降Vf</t>
  </si>
  <si>
    <t>开关频率f</t>
  </si>
  <si>
    <t>器件型号</t>
  </si>
  <si>
    <t>温升△T</t>
  </si>
  <si>
    <r>
      <t>导通损耗Pcon</t>
    </r>
    <r>
      <rPr>
        <sz val="12"/>
        <rFont val="宋体"/>
        <family val="0"/>
      </rPr>
      <t>(W)</t>
    </r>
  </si>
  <si>
    <r>
      <t>反向损耗Pr</t>
    </r>
    <r>
      <rPr>
        <sz val="12"/>
        <rFont val="宋体"/>
        <family val="0"/>
      </rPr>
      <t>(W)</t>
    </r>
  </si>
  <si>
    <r>
      <t>反向恢复损耗Prr</t>
    </r>
    <r>
      <rPr>
        <sz val="12"/>
        <rFont val="宋体"/>
        <family val="0"/>
      </rPr>
      <t>(W)</t>
    </r>
  </si>
  <si>
    <r>
      <t>总的损耗P</t>
    </r>
    <r>
      <rPr>
        <sz val="12"/>
        <rFont val="宋体"/>
        <family val="0"/>
      </rPr>
      <t>(W)</t>
    </r>
  </si>
  <si>
    <t>效率估算</t>
  </si>
  <si>
    <t>整流桥总损耗</t>
  </si>
  <si>
    <t>输入电解电容总损耗</t>
  </si>
  <si>
    <t>输出电解电容总损耗</t>
  </si>
  <si>
    <t>输出电解的总ESR(毫欧）</t>
  </si>
  <si>
    <r>
      <t>输出电解上R</t>
    </r>
    <r>
      <rPr>
        <sz val="12"/>
        <rFont val="宋体"/>
        <family val="0"/>
      </rPr>
      <t>MS电流（A)</t>
    </r>
  </si>
  <si>
    <t>输出电解损耗（W）</t>
  </si>
  <si>
    <t>2L680μFM16V105D8*16</t>
  </si>
  <si>
    <t>输入电解的总ESR(毫欧）</t>
  </si>
  <si>
    <t>桥堆二极管导通时间（毫秒）</t>
  </si>
  <si>
    <t>输出电解损耗（W）</t>
  </si>
  <si>
    <t>输出电解上RMS电流（A)</t>
  </si>
  <si>
    <t>理想输入电流（A)</t>
  </si>
  <si>
    <t>2S22μFM400V105D13*20</t>
  </si>
  <si>
    <t>桥堆二极管的RMS电流（A)</t>
  </si>
  <si>
    <t>桥损耗</t>
  </si>
  <si>
    <t>VT(导通压降）(V)</t>
  </si>
  <si>
    <t>Rbrd（导通后的电阻）（毫欧）</t>
  </si>
  <si>
    <t>Rds(欧）温度120度时</t>
  </si>
  <si>
    <t>磁芯损耗（可查表）（W)</t>
  </si>
  <si>
    <t>初级直流损耗（W)</t>
  </si>
  <si>
    <t>初级交流损耗（W)</t>
  </si>
  <si>
    <t>次级直流损耗（W)</t>
  </si>
  <si>
    <t>次级交流损耗（W)</t>
  </si>
  <si>
    <t>次级直流电阻（直接测）（欧）</t>
  </si>
  <si>
    <t>初级交流电流Ip_ac</t>
  </si>
  <si>
    <t>初级有效值电流Ip_rms</t>
  </si>
  <si>
    <t>初级直流电流Ip_dc</t>
  </si>
  <si>
    <t>次级直流电流Is_dc</t>
  </si>
  <si>
    <t>次级交流电流Is_ac</t>
  </si>
  <si>
    <t>次级有效值电流Is_rms</t>
  </si>
  <si>
    <t>初级直流电阻（直接测）（欧）</t>
  </si>
  <si>
    <t>初级交流电阻Rp_ac</t>
  </si>
  <si>
    <t>次级交流电阻Rs_ac</t>
  </si>
  <si>
    <r>
      <t>计算交流电阻时要参考开关电源中的磁性元件第1</t>
    </r>
    <r>
      <rPr>
        <sz val="12"/>
        <rFont val="宋体"/>
        <family val="0"/>
      </rPr>
      <t>40页，现简化为直流电阻的1.2倍。</t>
    </r>
  </si>
  <si>
    <t>变压器总损耗（W）</t>
  </si>
  <si>
    <t>EE25(888)-4</t>
  </si>
  <si>
    <r>
      <t>导通损耗P</t>
    </r>
    <r>
      <rPr>
        <sz val="12"/>
        <rFont val="宋体"/>
        <family val="0"/>
      </rPr>
      <t>CON</t>
    </r>
  </si>
  <si>
    <r>
      <t>P</t>
    </r>
    <r>
      <rPr>
        <sz val="12"/>
        <rFont val="宋体"/>
        <family val="0"/>
      </rPr>
      <t>COSS</t>
    </r>
  </si>
  <si>
    <r>
      <t>P</t>
    </r>
    <r>
      <rPr>
        <sz val="12"/>
        <rFont val="宋体"/>
        <family val="0"/>
      </rPr>
      <t>GATE（驱动损耗）</t>
    </r>
  </si>
  <si>
    <t>PSW（交越损耗）</t>
  </si>
  <si>
    <t>Coss(pF)max</t>
  </si>
  <si>
    <r>
      <t>Q</t>
    </r>
    <r>
      <rPr>
        <sz val="12"/>
        <rFont val="宋体"/>
        <family val="0"/>
      </rPr>
      <t>g(nc)</t>
    </r>
  </si>
  <si>
    <r>
      <t>V</t>
    </r>
    <r>
      <rPr>
        <sz val="12"/>
        <rFont val="宋体"/>
        <family val="0"/>
      </rPr>
      <t>g(V)</t>
    </r>
  </si>
  <si>
    <t>vds_min(V)</t>
  </si>
  <si>
    <t>Tr(开通上升时间)（nS)</t>
  </si>
  <si>
    <r>
      <t>Tf</t>
    </r>
    <r>
      <rPr>
        <sz val="12"/>
        <rFont val="宋体"/>
        <family val="0"/>
      </rPr>
      <t>(关断下降时间)（</t>
    </r>
    <r>
      <rPr>
        <sz val="12"/>
        <rFont val="宋体"/>
        <family val="0"/>
      </rPr>
      <t>nS)</t>
    </r>
  </si>
  <si>
    <t>总损耗</t>
  </si>
  <si>
    <t>骨架：EFD30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</si>
</sst>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0000_ "/>
    <numFmt numFmtId="186" formatCode="0.0000000000_ "/>
    <numFmt numFmtId="187" formatCode="0.00_);[Red]\(0.00\)"/>
    <numFmt numFmtId="188" formatCode="0.000_ "/>
    <numFmt numFmtId="189" formatCode="0.00000_ "/>
    <numFmt numFmtId="190" formatCode="0_ "/>
    <numFmt numFmtId="191" formatCode="0.0_ "/>
    <numFmt numFmtId="192" formatCode="0.0000_ "/>
    <numFmt numFmtId="193" formatCode="General&quot;V&quot;"/>
    <numFmt numFmtId="194" formatCode="General&quot;mA&quot;"/>
    <numFmt numFmtId="195" formatCode="General&quot;A&quot;"/>
    <numFmt numFmtId="196" formatCode="General&quot;ns&quot;"/>
    <numFmt numFmtId="197" formatCode="General&quot;℃/W&quot;"/>
    <numFmt numFmtId="198" formatCode="General&quot;pF&quot;"/>
    <numFmt numFmtId="199" formatCode="General&quot;KHz&quot;"/>
    <numFmt numFmtId="200" formatCode="[$-804]yyyy&quot;年&quot;m&quot;月&quot;d&quot;日&quot;dddd"/>
    <numFmt numFmtId="201" formatCode="[$-804]AM/PMh:mm:ss"/>
    <numFmt numFmtId="202" formatCode="0.00000_);[Red]\(0.00000\)"/>
    <numFmt numFmtId="203" formatCode="0.000_);[Red]\(0.000\)"/>
    <numFmt numFmtId="204" formatCode="0.0000_);[Red]\(0.0000\)"/>
  </numFmts>
  <fonts count="61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vertAlign val="superscript"/>
      <sz val="12"/>
      <name val="宋体"/>
      <family val="0"/>
    </font>
    <font>
      <vertAlign val="superscript"/>
      <sz val="12"/>
      <color indexed="12"/>
      <name val="宋体"/>
      <family val="0"/>
    </font>
    <font>
      <vertAlign val="subscript"/>
      <sz val="12"/>
      <name val="宋体"/>
      <family val="0"/>
    </font>
    <font>
      <sz val="12"/>
      <color indexed="57"/>
      <name val="宋体"/>
      <family val="0"/>
    </font>
    <font>
      <sz val="10"/>
      <name val="宋体"/>
      <family val="0"/>
    </font>
    <font>
      <vertAlign val="subscript"/>
      <sz val="12"/>
      <color indexed="12"/>
      <name val="宋体"/>
      <family val="0"/>
    </font>
    <font>
      <sz val="11"/>
      <name val="宋体"/>
      <family val="0"/>
    </font>
    <font>
      <b/>
      <sz val="12"/>
      <color indexed="12"/>
      <name val="宋体"/>
      <family val="0"/>
    </font>
    <font>
      <b/>
      <u val="single"/>
      <sz val="12"/>
      <color indexed="10"/>
      <name val="宋体"/>
      <family val="0"/>
    </font>
    <font>
      <b/>
      <sz val="12"/>
      <color indexed="10"/>
      <name val="宋体"/>
      <family val="0"/>
    </font>
    <font>
      <b/>
      <vertAlign val="subscript"/>
      <sz val="12"/>
      <color indexed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49"/>
      <name val="宋体"/>
      <family val="0"/>
    </font>
    <font>
      <b/>
      <sz val="12"/>
      <color indexed="49"/>
      <name val="宋体"/>
      <family val="0"/>
    </font>
    <font>
      <sz val="12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8" tint="-0.24997000396251678"/>
      <name val="宋体"/>
      <family val="0"/>
    </font>
    <font>
      <sz val="12"/>
      <color rgb="FFFF0000"/>
      <name val="宋体"/>
      <family val="0"/>
    </font>
    <font>
      <b/>
      <sz val="12"/>
      <color theme="8" tint="-0.24997000396251678"/>
      <name val="宋体"/>
      <family val="0"/>
    </font>
    <font>
      <b/>
      <sz val="12"/>
      <color theme="8"/>
      <name val="宋体"/>
      <family val="0"/>
    </font>
    <font>
      <b/>
      <sz val="12"/>
      <color rgb="FFFF0000"/>
      <name val="宋体"/>
      <family val="0"/>
    </font>
    <font>
      <sz val="12"/>
      <color theme="3" tint="0.399980008602142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289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10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84" fontId="9" fillId="0" borderId="0" xfId="0" applyNumberFormat="1" applyFont="1" applyBorder="1" applyAlignment="1">
      <alignment horizontal="center"/>
    </xf>
    <xf numFmtId="184" fontId="9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90" fontId="13" fillId="0" borderId="10" xfId="0" applyNumberFormat="1" applyFont="1" applyBorder="1" applyAlignment="1">
      <alignment horizontal="center"/>
    </xf>
    <xf numFmtId="190" fontId="13" fillId="0" borderId="11" xfId="0" applyNumberFormat="1" applyFont="1" applyBorder="1" applyAlignment="1">
      <alignment horizontal="center"/>
    </xf>
    <xf numFmtId="190" fontId="13" fillId="0" borderId="12" xfId="0" applyNumberFormat="1" applyFont="1" applyBorder="1" applyAlignment="1">
      <alignment horizontal="center"/>
    </xf>
    <xf numFmtId="190" fontId="13" fillId="0" borderId="20" xfId="0" applyNumberFormat="1" applyFont="1" applyBorder="1" applyAlignment="1">
      <alignment horizontal="center"/>
    </xf>
    <xf numFmtId="0" fontId="0" fillId="0" borderId="0" xfId="0" applyAlignment="1">
      <alignment/>
    </xf>
    <xf numFmtId="184" fontId="55" fillId="0" borderId="10" xfId="0" applyNumberFormat="1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191" fontId="55" fillId="0" borderId="15" xfId="0" applyNumberFormat="1" applyFont="1" applyBorder="1" applyAlignment="1">
      <alignment horizontal="center"/>
    </xf>
    <xf numFmtId="184" fontId="55" fillId="0" borderId="21" xfId="0" applyNumberFormat="1" applyFont="1" applyBorder="1" applyAlignment="1">
      <alignment horizontal="center"/>
    </xf>
    <xf numFmtId="191" fontId="55" fillId="0" borderId="10" xfId="0" applyNumberFormat="1" applyFont="1" applyBorder="1" applyAlignment="1">
      <alignment horizontal="center"/>
    </xf>
    <xf numFmtId="189" fontId="55" fillId="0" borderId="10" xfId="0" applyNumberFormat="1" applyFont="1" applyBorder="1" applyAlignment="1">
      <alignment horizontal="center"/>
    </xf>
    <xf numFmtId="192" fontId="55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184" fontId="55" fillId="0" borderId="22" xfId="0" applyNumberFormat="1" applyFont="1" applyBorder="1" applyAlignment="1">
      <alignment horizontal="center"/>
    </xf>
    <xf numFmtId="191" fontId="55" fillId="0" borderId="12" xfId="0" applyNumberFormat="1" applyFont="1" applyBorder="1" applyAlignment="1">
      <alignment horizontal="center"/>
    </xf>
    <xf numFmtId="184" fontId="55" fillId="0" borderId="12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91" fontId="55" fillId="0" borderId="0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189" fontId="55" fillId="0" borderId="0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56" fillId="0" borderId="21" xfId="0" applyFont="1" applyBorder="1" applyAlignment="1">
      <alignment horizontal="center"/>
    </xf>
    <xf numFmtId="192" fontId="55" fillId="0" borderId="11" xfId="0" applyNumberFormat="1" applyFont="1" applyBorder="1" applyAlignment="1">
      <alignment horizontal="center"/>
    </xf>
    <xf numFmtId="189" fontId="55" fillId="0" borderId="11" xfId="0" applyNumberFormat="1" applyFont="1" applyBorder="1" applyAlignment="1">
      <alignment horizontal="center"/>
    </xf>
    <xf numFmtId="184" fontId="55" fillId="0" borderId="20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25" xfId="0" applyFont="1" applyBorder="1" applyAlignment="1">
      <alignment/>
    </xf>
    <xf numFmtId="192" fontId="57" fillId="0" borderId="10" xfId="0" applyNumberFormat="1" applyFont="1" applyBorder="1" applyAlignment="1">
      <alignment horizontal="center"/>
    </xf>
    <xf numFmtId="192" fontId="57" fillId="0" borderId="12" xfId="0" applyNumberFormat="1" applyFont="1" applyBorder="1" applyAlignment="1">
      <alignment horizontal="center"/>
    </xf>
    <xf numFmtId="0" fontId="0" fillId="19" borderId="21" xfId="0" applyFill="1" applyBorder="1" applyAlignment="1">
      <alignment/>
    </xf>
    <xf numFmtId="0" fontId="55" fillId="19" borderId="21" xfId="0" applyFont="1" applyFill="1" applyBorder="1" applyAlignment="1">
      <alignment horizontal="center"/>
    </xf>
    <xf numFmtId="184" fontId="55" fillId="19" borderId="22" xfId="0" applyNumberFormat="1" applyFont="1" applyFill="1" applyBorder="1" applyAlignment="1">
      <alignment horizontal="center"/>
    </xf>
    <xf numFmtId="192" fontId="57" fillId="19" borderId="10" xfId="0" applyNumberFormat="1" applyFont="1" applyFill="1" applyBorder="1" applyAlignment="1">
      <alignment horizontal="center" vertical="center"/>
    </xf>
    <xf numFmtId="0" fontId="0" fillId="19" borderId="10" xfId="0" applyFill="1" applyBorder="1" applyAlignment="1">
      <alignment/>
    </xf>
    <xf numFmtId="0" fontId="55" fillId="19" borderId="10" xfId="0" applyFont="1" applyFill="1" applyBorder="1" applyAlignment="1">
      <alignment horizontal="center"/>
    </xf>
    <xf numFmtId="191" fontId="55" fillId="19" borderId="12" xfId="0" applyNumberFormat="1" applyFont="1" applyFill="1" applyBorder="1" applyAlignment="1">
      <alignment horizontal="center"/>
    </xf>
    <xf numFmtId="191" fontId="55" fillId="19" borderId="10" xfId="0" applyNumberFormat="1" applyFont="1" applyFill="1" applyBorder="1" applyAlignment="1">
      <alignment horizontal="center"/>
    </xf>
    <xf numFmtId="184" fontId="57" fillId="19" borderId="11" xfId="0" applyNumberFormat="1" applyFont="1" applyFill="1" applyBorder="1" applyAlignment="1">
      <alignment horizontal="center"/>
    </xf>
    <xf numFmtId="0" fontId="0" fillId="19" borderId="11" xfId="0" applyFill="1" applyBorder="1" applyAlignment="1">
      <alignment/>
    </xf>
    <xf numFmtId="191" fontId="55" fillId="19" borderId="11" xfId="0" applyNumberFormat="1" applyFont="1" applyFill="1" applyBorder="1" applyAlignment="1">
      <alignment horizontal="center"/>
    </xf>
    <xf numFmtId="191" fontId="55" fillId="19" borderId="20" xfId="0" applyNumberFormat="1" applyFont="1" applyFill="1" applyBorder="1" applyAlignment="1">
      <alignment horizontal="center"/>
    </xf>
    <xf numFmtId="0" fontId="0" fillId="12" borderId="26" xfId="0" applyFill="1" applyBorder="1" applyAlignment="1">
      <alignment/>
    </xf>
    <xf numFmtId="184" fontId="58" fillId="12" borderId="27" xfId="0" applyNumberFormat="1" applyFont="1" applyFill="1" applyBorder="1" applyAlignment="1">
      <alignment horizontal="center"/>
    </xf>
    <xf numFmtId="0" fontId="0" fillId="12" borderId="28" xfId="0" applyFont="1" applyFill="1" applyBorder="1" applyAlignment="1">
      <alignment/>
    </xf>
    <xf numFmtId="192" fontId="55" fillId="12" borderId="22" xfId="0" applyNumberFormat="1" applyFont="1" applyFill="1" applyBorder="1" applyAlignment="1">
      <alignment horizontal="center"/>
    </xf>
    <xf numFmtId="0" fontId="5" fillId="12" borderId="21" xfId="0" applyFont="1" applyFill="1" applyBorder="1" applyAlignment="1">
      <alignment horizontal="center"/>
    </xf>
    <xf numFmtId="0" fontId="5" fillId="12" borderId="22" xfId="0" applyFont="1" applyFill="1" applyBorder="1" applyAlignment="1">
      <alignment horizontal="center"/>
    </xf>
    <xf numFmtId="184" fontId="58" fillId="12" borderId="22" xfId="0" applyNumberFormat="1" applyFont="1" applyFill="1" applyBorder="1" applyAlignment="1">
      <alignment horizontal="center"/>
    </xf>
    <xf numFmtId="0" fontId="0" fillId="12" borderId="13" xfId="0" applyFill="1" applyBorder="1" applyAlignment="1">
      <alignment/>
    </xf>
    <xf numFmtId="192" fontId="55" fillId="12" borderId="12" xfId="0" applyNumberFormat="1" applyFont="1" applyFill="1" applyBorder="1" applyAlignment="1">
      <alignment horizontal="center"/>
    </xf>
    <xf numFmtId="0" fontId="5" fillId="12" borderId="29" xfId="0" applyFont="1" applyFill="1" applyBorder="1" applyAlignment="1">
      <alignment horizontal="center"/>
    </xf>
    <xf numFmtId="191" fontId="55" fillId="12" borderId="30" xfId="0" applyNumberFormat="1" applyFont="1" applyFill="1" applyBorder="1" applyAlignment="1">
      <alignment horizontal="center"/>
    </xf>
    <xf numFmtId="184" fontId="55" fillId="12" borderId="12" xfId="0" applyNumberFormat="1" applyFont="1" applyFill="1" applyBorder="1" applyAlignment="1">
      <alignment horizontal="center"/>
    </xf>
    <xf numFmtId="0" fontId="0" fillId="12" borderId="14" xfId="0" applyFont="1" applyFill="1" applyBorder="1" applyAlignment="1">
      <alignment/>
    </xf>
    <xf numFmtId="192" fontId="55" fillId="12" borderId="20" xfId="0" applyNumberFormat="1" applyFont="1" applyFill="1" applyBorder="1" applyAlignment="1">
      <alignment horizontal="center"/>
    </xf>
    <xf numFmtId="0" fontId="5" fillId="12" borderId="11" xfId="0" applyFont="1" applyFill="1" applyBorder="1" applyAlignment="1">
      <alignment horizontal="center"/>
    </xf>
    <xf numFmtId="191" fontId="55" fillId="12" borderId="20" xfId="0" applyNumberFormat="1" applyFont="1" applyFill="1" applyBorder="1" applyAlignment="1">
      <alignment horizontal="center"/>
    </xf>
    <xf numFmtId="184" fontId="55" fillId="12" borderId="20" xfId="0" applyNumberFormat="1" applyFont="1" applyFill="1" applyBorder="1" applyAlignment="1">
      <alignment horizontal="center"/>
    </xf>
    <xf numFmtId="0" fontId="0" fillId="12" borderId="31" xfId="0" applyFill="1" applyBorder="1" applyAlignment="1">
      <alignment/>
    </xf>
    <xf numFmtId="184" fontId="55" fillId="12" borderId="29" xfId="0" applyNumberFormat="1" applyFont="1" applyFill="1" applyBorder="1" applyAlignment="1">
      <alignment horizontal="center"/>
    </xf>
    <xf numFmtId="188" fontId="55" fillId="12" borderId="30" xfId="0" applyNumberFormat="1" applyFont="1" applyFill="1" applyBorder="1" applyAlignment="1">
      <alignment horizontal="center"/>
    </xf>
    <xf numFmtId="188" fontId="56" fillId="12" borderId="22" xfId="0" applyNumberFormat="1" applyFont="1" applyFill="1" applyBorder="1" applyAlignment="1">
      <alignment horizontal="center"/>
    </xf>
    <xf numFmtId="0" fontId="0" fillId="12" borderId="14" xfId="0" applyFill="1" applyBorder="1" applyAlignment="1">
      <alignment/>
    </xf>
    <xf numFmtId="184" fontId="55" fillId="12" borderId="11" xfId="0" applyNumberFormat="1" applyFont="1" applyFill="1" applyBorder="1" applyAlignment="1">
      <alignment horizontal="center"/>
    </xf>
    <xf numFmtId="189" fontId="55" fillId="12" borderId="20" xfId="0" applyNumberFormat="1" applyFont="1" applyFill="1" applyBorder="1" applyAlignment="1">
      <alignment horizontal="center"/>
    </xf>
    <xf numFmtId="191" fontId="57" fillId="12" borderId="20" xfId="0" applyNumberFormat="1" applyFont="1" applyFill="1" applyBorder="1" applyAlignment="1">
      <alignment horizontal="center"/>
    </xf>
    <xf numFmtId="188" fontId="55" fillId="12" borderId="22" xfId="0" applyNumberFormat="1" applyFont="1" applyFill="1" applyBorder="1" applyAlignment="1">
      <alignment horizontal="center"/>
    </xf>
    <xf numFmtId="184" fontId="55" fillId="12" borderId="21" xfId="0" applyNumberFormat="1" applyFont="1" applyFill="1" applyBorder="1" applyAlignment="1">
      <alignment/>
    </xf>
    <xf numFmtId="0" fontId="0" fillId="12" borderId="13" xfId="0" applyFont="1" applyFill="1" applyBorder="1" applyAlignment="1">
      <alignment/>
    </xf>
    <xf numFmtId="184" fontId="55" fillId="12" borderId="10" xfId="0" applyNumberFormat="1" applyFont="1" applyFill="1" applyBorder="1" applyAlignment="1">
      <alignment horizontal="center"/>
    </xf>
    <xf numFmtId="188" fontId="55" fillId="12" borderId="12" xfId="0" applyNumberFormat="1" applyFont="1" applyFill="1" applyBorder="1" applyAlignment="1">
      <alignment horizontal="center"/>
    </xf>
    <xf numFmtId="0" fontId="59" fillId="12" borderId="14" xfId="0" applyFont="1" applyFill="1" applyBorder="1" applyAlignment="1">
      <alignment/>
    </xf>
    <xf numFmtId="184" fontId="58" fillId="12" borderId="20" xfId="0" applyNumberFormat="1" applyFont="1" applyFill="1" applyBorder="1" applyAlignment="1">
      <alignment horizontal="center"/>
    </xf>
    <xf numFmtId="188" fontId="55" fillId="12" borderId="20" xfId="0" applyNumberFormat="1" applyFont="1" applyFill="1" applyBorder="1" applyAlignment="1">
      <alignment horizontal="center"/>
    </xf>
    <xf numFmtId="0" fontId="0" fillId="12" borderId="32" xfId="0" applyFill="1" applyBorder="1" applyAlignment="1">
      <alignment/>
    </xf>
    <xf numFmtId="184" fontId="9" fillId="12" borderId="33" xfId="0" applyNumberFormat="1" applyFont="1" applyFill="1" applyBorder="1" applyAlignment="1">
      <alignment/>
    </xf>
    <xf numFmtId="188" fontId="9" fillId="12" borderId="34" xfId="0" applyNumberFormat="1" applyFont="1" applyFill="1" applyBorder="1" applyAlignment="1">
      <alignment horizontal="center"/>
    </xf>
    <xf numFmtId="184" fontId="60" fillId="12" borderId="34" xfId="0" applyNumberFormat="1" applyFont="1" applyFill="1" applyBorder="1" applyAlignment="1">
      <alignment horizontal="center"/>
    </xf>
    <xf numFmtId="0" fontId="3" fillId="9" borderId="25" xfId="0" applyFont="1" applyFill="1" applyBorder="1" applyAlignment="1">
      <alignment/>
    </xf>
    <xf numFmtId="0" fontId="0" fillId="9" borderId="25" xfId="0" applyFill="1" applyBorder="1" applyAlignment="1">
      <alignment/>
    </xf>
    <xf numFmtId="184" fontId="55" fillId="9" borderId="21" xfId="0" applyNumberFormat="1" applyFont="1" applyFill="1" applyBorder="1" applyAlignment="1">
      <alignment horizontal="center"/>
    </xf>
    <xf numFmtId="184" fontId="55" fillId="9" borderId="22" xfId="0" applyNumberFormat="1" applyFont="1" applyFill="1" applyBorder="1" applyAlignment="1">
      <alignment horizontal="center"/>
    </xf>
    <xf numFmtId="0" fontId="0" fillId="9" borderId="13" xfId="0" applyFill="1" applyBorder="1" applyAlignment="1">
      <alignment/>
    </xf>
    <xf numFmtId="189" fontId="55" fillId="9" borderId="10" xfId="0" applyNumberFormat="1" applyFont="1" applyFill="1" applyBorder="1" applyAlignment="1">
      <alignment horizontal="center"/>
    </xf>
    <xf numFmtId="191" fontId="55" fillId="9" borderId="10" xfId="0" applyNumberFormat="1" applyFont="1" applyFill="1" applyBorder="1" applyAlignment="1">
      <alignment horizontal="center"/>
    </xf>
    <xf numFmtId="191" fontId="55" fillId="9" borderId="12" xfId="0" applyNumberFormat="1" applyFont="1" applyFill="1" applyBorder="1" applyAlignment="1">
      <alignment horizontal="center"/>
    </xf>
    <xf numFmtId="188" fontId="5" fillId="9" borderId="10" xfId="0" applyNumberFormat="1" applyFont="1" applyFill="1" applyBorder="1" applyAlignment="1">
      <alignment horizontal="center"/>
    </xf>
    <xf numFmtId="192" fontId="55" fillId="9" borderId="10" xfId="0" applyNumberFormat="1" applyFont="1" applyFill="1" applyBorder="1" applyAlignment="1">
      <alignment horizontal="center"/>
    </xf>
    <xf numFmtId="0" fontId="9" fillId="9" borderId="10" xfId="0" applyFont="1" applyFill="1" applyBorder="1" applyAlignment="1">
      <alignment/>
    </xf>
    <xf numFmtId="0" fontId="55" fillId="9" borderId="12" xfId="0" applyFont="1" applyFill="1" applyBorder="1" applyAlignment="1">
      <alignment horizontal="center"/>
    </xf>
    <xf numFmtId="0" fontId="55" fillId="9" borderId="10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184" fontId="55" fillId="9" borderId="10" xfId="0" applyNumberFormat="1" applyFont="1" applyFill="1" applyBorder="1" applyAlignment="1">
      <alignment horizontal="center"/>
    </xf>
    <xf numFmtId="0" fontId="0" fillId="9" borderId="10" xfId="0" applyFill="1" applyBorder="1" applyAlignment="1">
      <alignment/>
    </xf>
    <xf numFmtId="184" fontId="55" fillId="9" borderId="12" xfId="0" applyNumberFormat="1" applyFont="1" applyFill="1" applyBorder="1" applyAlignment="1">
      <alignment horizontal="center"/>
    </xf>
    <xf numFmtId="0" fontId="0" fillId="9" borderId="14" xfId="0" applyFill="1" applyBorder="1" applyAlignment="1">
      <alignment/>
    </xf>
    <xf numFmtId="189" fontId="55" fillId="9" borderId="11" xfId="0" applyNumberFormat="1" applyFont="1" applyFill="1" applyBorder="1" applyAlignment="1">
      <alignment horizontal="center"/>
    </xf>
    <xf numFmtId="191" fontId="55" fillId="9" borderId="11" xfId="0" applyNumberFormat="1" applyFont="1" applyFill="1" applyBorder="1" applyAlignment="1">
      <alignment horizontal="center"/>
    </xf>
    <xf numFmtId="191" fontId="55" fillId="9" borderId="20" xfId="0" applyNumberFormat="1" applyFont="1" applyFill="1" applyBorder="1" applyAlignment="1">
      <alignment horizontal="center"/>
    </xf>
    <xf numFmtId="0" fontId="0" fillId="0" borderId="35" xfId="0" applyBorder="1" applyAlignment="1">
      <alignment/>
    </xf>
    <xf numFmtId="192" fontId="0" fillId="12" borderId="0" xfId="0" applyNumberFormat="1" applyFill="1" applyBorder="1" applyAlignment="1">
      <alignment vertical="center"/>
    </xf>
    <xf numFmtId="187" fontId="0" fillId="12" borderId="0" xfId="0" applyNumberFormat="1" applyFill="1" applyBorder="1" applyAlignment="1">
      <alignment vertical="center"/>
    </xf>
    <xf numFmtId="196" fontId="0" fillId="12" borderId="0" xfId="0" applyNumberFormat="1" applyFill="1" applyBorder="1" applyAlignment="1">
      <alignment vertical="center"/>
    </xf>
    <xf numFmtId="195" fontId="0" fillId="12" borderId="0" xfId="0" applyNumberFormat="1" applyFill="1" applyBorder="1" applyAlignment="1">
      <alignment vertical="center"/>
    </xf>
    <xf numFmtId="194" fontId="0" fillId="12" borderId="0" xfId="0" applyNumberFormat="1" applyFill="1" applyBorder="1" applyAlignment="1">
      <alignment vertical="center"/>
    </xf>
    <xf numFmtId="199" fontId="0" fillId="12" borderId="0" xfId="0" applyNumberFormat="1" applyFill="1" applyBorder="1" applyAlignment="1">
      <alignment vertical="center"/>
    </xf>
    <xf numFmtId="193" fontId="0" fillId="12" borderId="0" xfId="0" applyNumberFormat="1" applyFill="1" applyBorder="1" applyAlignment="1">
      <alignment vertical="center"/>
    </xf>
    <xf numFmtId="198" fontId="0" fillId="12" borderId="0" xfId="0" applyNumberFormat="1" applyFill="1" applyBorder="1" applyAlignment="1">
      <alignment vertical="center"/>
    </xf>
    <xf numFmtId="197" fontId="0" fillId="12" borderId="0" xfId="0" applyNumberFormat="1" applyFill="1" applyBorder="1" applyAlignment="1">
      <alignment vertical="center"/>
    </xf>
    <xf numFmtId="184" fontId="0" fillId="19" borderId="36" xfId="0" applyNumberFormat="1" applyFill="1" applyBorder="1" applyAlignment="1">
      <alignment horizontal="center"/>
    </xf>
    <xf numFmtId="187" fontId="0" fillId="19" borderId="36" xfId="0" applyNumberFormat="1" applyFill="1" applyBorder="1" applyAlignment="1">
      <alignment horizontal="center"/>
    </xf>
    <xf numFmtId="0" fontId="0" fillId="0" borderId="36" xfId="0" applyBorder="1" applyAlignment="1">
      <alignment/>
    </xf>
    <xf numFmtId="203" fontId="0" fillId="12" borderId="0" xfId="0" applyNumberFormat="1" applyFill="1" applyBorder="1" applyAlignment="1">
      <alignment vertical="center"/>
    </xf>
    <xf numFmtId="187" fontId="0" fillId="19" borderId="36" xfId="0" applyNumberFormat="1" applyFill="1" applyBorder="1" applyAlignment="1">
      <alignment vertical="center"/>
    </xf>
    <xf numFmtId="202" fontId="0" fillId="19" borderId="36" xfId="0" applyNumberFormat="1" applyFill="1" applyBorder="1" applyAlignment="1">
      <alignment vertical="center"/>
    </xf>
    <xf numFmtId="187" fontId="0" fillId="12" borderId="36" xfId="0" applyNumberFormat="1" applyFont="1" applyFill="1" applyBorder="1" applyAlignment="1">
      <alignment vertical="center"/>
    </xf>
    <xf numFmtId="187" fontId="0" fillId="12" borderId="36" xfId="0" applyNumberFormat="1" applyFill="1" applyBorder="1" applyAlignment="1">
      <alignment vertical="center"/>
    </xf>
    <xf numFmtId="203" fontId="0" fillId="19" borderId="36" xfId="0" applyNumberFormat="1" applyFill="1" applyBorder="1" applyAlignment="1">
      <alignment vertical="center"/>
    </xf>
    <xf numFmtId="204" fontId="56" fillId="12" borderId="0" xfId="0" applyNumberFormat="1" applyFont="1" applyFill="1" applyBorder="1" applyAlignment="1">
      <alignment vertical="center"/>
    </xf>
    <xf numFmtId="187" fontId="0" fillId="12" borderId="25" xfId="0" applyNumberFormat="1" applyFill="1" applyBorder="1" applyAlignment="1">
      <alignment vertical="center"/>
    </xf>
    <xf numFmtId="202" fontId="0" fillId="19" borderId="35" xfId="0" applyNumberFormat="1" applyFill="1" applyBorder="1" applyAlignment="1">
      <alignment vertical="center"/>
    </xf>
    <xf numFmtId="187" fontId="0" fillId="19" borderId="36" xfId="0" applyNumberFormat="1" applyFont="1" applyFill="1" applyBorder="1" applyAlignment="1">
      <alignment horizontal="center"/>
    </xf>
    <xf numFmtId="184" fontId="57" fillId="12" borderId="33" xfId="0" applyNumberFormat="1" applyFont="1" applyFill="1" applyBorder="1" applyAlignment="1">
      <alignment horizontal="center"/>
    </xf>
    <xf numFmtId="187" fontId="0" fillId="12" borderId="26" xfId="0" applyNumberFormat="1" applyFill="1" applyBorder="1" applyAlignment="1">
      <alignment vertical="center"/>
    </xf>
    <xf numFmtId="202" fontId="0" fillId="19" borderId="27" xfId="0" applyNumberForma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87" fontId="0" fillId="33" borderId="25" xfId="0" applyNumberFormat="1" applyFont="1" applyFill="1" applyBorder="1" applyAlignment="1">
      <alignment vertical="center"/>
    </xf>
    <xf numFmtId="0" fontId="0" fillId="33" borderId="25" xfId="0" applyFill="1" applyBorder="1" applyAlignment="1">
      <alignment/>
    </xf>
    <xf numFmtId="0" fontId="0" fillId="33" borderId="35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Border="1" applyAlignment="1">
      <alignment/>
    </xf>
    <xf numFmtId="0" fontId="3" fillId="0" borderId="37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3" fillId="0" borderId="38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35" xfId="0" applyBorder="1" applyAlignment="1">
      <alignment/>
    </xf>
    <xf numFmtId="0" fontId="0" fillId="0" borderId="38" xfId="0" applyFont="1" applyBorder="1" applyAlignment="1">
      <alignment vertical="center"/>
    </xf>
    <xf numFmtId="0" fontId="56" fillId="0" borderId="23" xfId="0" applyFont="1" applyBorder="1" applyAlignment="1">
      <alignment vertical="center"/>
    </xf>
    <xf numFmtId="0" fontId="56" fillId="0" borderId="0" xfId="0" applyFont="1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37" xfId="0" applyFont="1" applyBorder="1" applyAlignment="1">
      <alignment vertical="center"/>
    </xf>
    <xf numFmtId="0" fontId="0" fillId="0" borderId="26" xfId="0" applyBorder="1" applyAlignment="1">
      <alignment/>
    </xf>
    <xf numFmtId="0" fontId="0" fillId="9" borderId="39" xfId="0" applyFont="1" applyFill="1" applyBorder="1" applyAlignment="1">
      <alignment horizontal="center"/>
    </xf>
    <xf numFmtId="0" fontId="0" fillId="9" borderId="4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9" fillId="12" borderId="28" xfId="0" applyFont="1" applyFill="1" applyBorder="1" applyAlignment="1">
      <alignment/>
    </xf>
    <xf numFmtId="0" fontId="59" fillId="12" borderId="2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12" borderId="32" xfId="0" applyFill="1" applyBorder="1" applyAlignment="1">
      <alignment/>
    </xf>
    <xf numFmtId="0" fontId="0" fillId="12" borderId="33" xfId="0" applyFill="1" applyBorder="1" applyAlignment="1">
      <alignment/>
    </xf>
    <xf numFmtId="0" fontId="0" fillId="12" borderId="41" xfId="0" applyFill="1" applyBorder="1" applyAlignment="1">
      <alignment/>
    </xf>
    <xf numFmtId="0" fontId="0" fillId="12" borderId="42" xfId="0" applyFill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9" fillId="12" borderId="44" xfId="0" applyFont="1" applyFill="1" applyBorder="1" applyAlignment="1">
      <alignment/>
    </xf>
    <xf numFmtId="0" fontId="59" fillId="12" borderId="19" xfId="0" applyFont="1" applyFill="1" applyBorder="1" applyAlignment="1">
      <alignment/>
    </xf>
    <xf numFmtId="0" fontId="0" fillId="12" borderId="31" xfId="0" applyFont="1" applyFill="1" applyBorder="1" applyAlignment="1">
      <alignment/>
    </xf>
    <xf numFmtId="0" fontId="0" fillId="12" borderId="29" xfId="0" applyFill="1" applyBorder="1" applyAlignment="1">
      <alignment/>
    </xf>
    <xf numFmtId="0" fontId="0" fillId="12" borderId="11" xfId="0" applyFill="1" applyBorder="1" applyAlignment="1">
      <alignment/>
    </xf>
    <xf numFmtId="0" fontId="0" fillId="12" borderId="28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14" xfId="0" applyFill="1" applyBorder="1" applyAlignment="1">
      <alignment/>
    </xf>
    <xf numFmtId="192" fontId="55" fillId="12" borderId="45" xfId="0" applyNumberFormat="1" applyFont="1" applyFill="1" applyBorder="1" applyAlignment="1">
      <alignment horizontal="center" vertical="center"/>
    </xf>
    <xf numFmtId="0" fontId="0" fillId="12" borderId="46" xfId="0" applyFill="1" applyBorder="1" applyAlignment="1">
      <alignment horizontal="center" vertical="center"/>
    </xf>
    <xf numFmtId="0" fontId="0" fillId="12" borderId="13" xfId="0" applyFont="1" applyFill="1" applyBorder="1" applyAlignment="1">
      <alignment/>
    </xf>
    <xf numFmtId="0" fontId="0" fillId="12" borderId="10" xfId="0" applyFill="1" applyBorder="1" applyAlignment="1">
      <alignment/>
    </xf>
    <xf numFmtId="0" fontId="3" fillId="0" borderId="0" xfId="0" applyFont="1" applyBorder="1" applyAlignment="1">
      <alignment/>
    </xf>
    <xf numFmtId="0" fontId="0" fillId="19" borderId="11" xfId="0" applyFont="1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47" xfId="0" applyFont="1" applyFill="1" applyBorder="1" applyAlignment="1">
      <alignment/>
    </xf>
    <xf numFmtId="0" fontId="0" fillId="19" borderId="18" xfId="0" applyFill="1" applyBorder="1" applyAlignment="1">
      <alignment/>
    </xf>
    <xf numFmtId="0" fontId="0" fillId="9" borderId="10" xfId="0" applyFont="1" applyFill="1" applyBorder="1" applyAlignment="1">
      <alignment/>
    </xf>
    <xf numFmtId="0" fontId="0" fillId="9" borderId="10" xfId="0" applyFill="1" applyBorder="1" applyAlignment="1">
      <alignment/>
    </xf>
    <xf numFmtId="0" fontId="12" fillId="9" borderId="11" xfId="0" applyFont="1" applyFill="1" applyBorder="1" applyAlignment="1">
      <alignment/>
    </xf>
    <xf numFmtId="0" fontId="3" fillId="12" borderId="48" xfId="0" applyFont="1" applyFill="1" applyBorder="1" applyAlignment="1">
      <alignment/>
    </xf>
    <xf numFmtId="0" fontId="3" fillId="12" borderId="24" xfId="0" applyFont="1" applyFill="1" applyBorder="1" applyAlignment="1">
      <alignment/>
    </xf>
    <xf numFmtId="0" fontId="4" fillId="0" borderId="49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9" borderId="21" xfId="0" applyFill="1" applyBorder="1" applyAlignment="1">
      <alignment/>
    </xf>
    <xf numFmtId="0" fontId="4" fillId="0" borderId="11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3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16" xfId="0" applyBorder="1" applyAlignment="1">
      <alignment/>
    </xf>
    <xf numFmtId="0" fontId="0" fillId="9" borderId="47" xfId="0" applyFont="1" applyFill="1" applyBorder="1" applyAlignment="1">
      <alignment horizontal="center"/>
    </xf>
    <xf numFmtId="0" fontId="0" fillId="9" borderId="52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19" borderId="37" xfId="0" applyFill="1" applyBorder="1" applyAlignment="1">
      <alignment/>
    </xf>
    <xf numFmtId="0" fontId="0" fillId="19" borderId="26" xfId="0" applyFill="1" applyBorder="1" applyAlignment="1">
      <alignment/>
    </xf>
    <xf numFmtId="0" fontId="0" fillId="19" borderId="27" xfId="0" applyFill="1" applyBorder="1" applyAlignment="1">
      <alignment/>
    </xf>
    <xf numFmtId="0" fontId="0" fillId="19" borderId="23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36" xfId="0" applyFill="1" applyBorder="1" applyAlignment="1">
      <alignment/>
    </xf>
    <xf numFmtId="0" fontId="0" fillId="19" borderId="23" xfId="0" applyFont="1" applyFill="1" applyBorder="1" applyAlignment="1">
      <alignment/>
    </xf>
    <xf numFmtId="0" fontId="0" fillId="19" borderId="39" xfId="0" applyFill="1" applyBorder="1" applyAlignment="1">
      <alignment/>
    </xf>
    <xf numFmtId="0" fontId="0" fillId="19" borderId="43" xfId="0" applyFill="1" applyBorder="1" applyAlignment="1">
      <alignment/>
    </xf>
    <xf numFmtId="0" fontId="0" fillId="19" borderId="47" xfId="0" applyFill="1" applyBorder="1" applyAlignment="1">
      <alignment/>
    </xf>
    <xf numFmtId="0" fontId="0" fillId="19" borderId="44" xfId="0" applyFill="1" applyBorder="1" applyAlignment="1">
      <alignment/>
    </xf>
    <xf numFmtId="0" fontId="0" fillId="19" borderId="19" xfId="0" applyFill="1" applyBorder="1" applyAlignment="1">
      <alignment/>
    </xf>
    <xf numFmtId="0" fontId="3" fillId="9" borderId="28" xfId="0" applyFont="1" applyFill="1" applyBorder="1" applyAlignment="1">
      <alignment/>
    </xf>
    <xf numFmtId="0" fontId="3" fillId="9" borderId="21" xfId="0" applyFont="1" applyFill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19" borderId="38" xfId="0" applyFont="1" applyFill="1" applyBorder="1" applyAlignment="1">
      <alignment/>
    </xf>
    <xf numFmtId="0" fontId="0" fillId="19" borderId="25" xfId="0" applyFill="1" applyBorder="1" applyAlignment="1">
      <alignment/>
    </xf>
    <xf numFmtId="0" fontId="0" fillId="19" borderId="35" xfId="0" applyFill="1" applyBorder="1" applyAlignment="1">
      <alignment/>
    </xf>
    <xf numFmtId="0" fontId="0" fillId="12" borderId="14" xfId="0" applyFont="1" applyFill="1" applyBorder="1" applyAlignment="1">
      <alignment/>
    </xf>
    <xf numFmtId="0" fontId="0" fillId="12" borderId="31" xfId="0" applyFill="1" applyBorder="1" applyAlignment="1">
      <alignment/>
    </xf>
    <xf numFmtId="0" fontId="0" fillId="9" borderId="44" xfId="0" applyFont="1" applyFill="1" applyBorder="1" applyAlignment="1">
      <alignment horizontal="center"/>
    </xf>
    <xf numFmtId="0" fontId="0" fillId="9" borderId="54" xfId="0" applyFont="1" applyFill="1" applyBorder="1" applyAlignment="1">
      <alignment horizontal="center"/>
    </xf>
    <xf numFmtId="0" fontId="0" fillId="12" borderId="13" xfId="0" applyFill="1" applyBorder="1" applyAlignment="1">
      <alignment/>
    </xf>
    <xf numFmtId="0" fontId="0" fillId="12" borderId="14" xfId="0" applyFont="1" applyFill="1" applyBorder="1" applyAlignment="1">
      <alignment/>
    </xf>
    <xf numFmtId="0" fontId="0" fillId="12" borderId="28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3" fillId="0" borderId="3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6" xfId="0" applyBorder="1" applyAlignment="1">
      <alignment vertical="center"/>
    </xf>
    <xf numFmtId="0" fontId="0" fillId="0" borderId="38" xfId="0" applyBorder="1" applyAlignment="1">
      <alignment/>
    </xf>
    <xf numFmtId="189" fontId="0" fillId="19" borderId="25" xfId="0" applyNumberFormat="1" applyFill="1" applyBorder="1" applyAlignment="1">
      <alignment horizontal="center"/>
    </xf>
    <xf numFmtId="189" fontId="0" fillId="19" borderId="35" xfId="0" applyNumberFormat="1" applyFill="1" applyBorder="1" applyAlignment="1">
      <alignment horizontal="center"/>
    </xf>
    <xf numFmtId="0" fontId="3" fillId="0" borderId="37" xfId="0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49</xdr:row>
      <xdr:rowOff>142875</xdr:rowOff>
    </xdr:from>
    <xdr:to>
      <xdr:col>7</xdr:col>
      <xdr:colOff>733425</xdr:colOff>
      <xdr:row>64</xdr:row>
      <xdr:rowOff>76200</xdr:rowOff>
    </xdr:to>
    <xdr:pic>
      <xdr:nvPicPr>
        <xdr:cNvPr id="1" name="图片 1" descr="VOR的波形表示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953625"/>
          <a:ext cx="43434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876300</xdr:colOff>
      <xdr:row>44</xdr:row>
      <xdr:rowOff>76200</xdr:rowOff>
    </xdr:from>
    <xdr:to>
      <xdr:col>15</xdr:col>
      <xdr:colOff>19050</xdr:colOff>
      <xdr:row>67</xdr:row>
      <xdr:rowOff>38100</xdr:rowOff>
    </xdr:to>
    <xdr:pic>
      <xdr:nvPicPr>
        <xdr:cNvPr id="2" name="图片 2" descr="IP及变压器饱和计算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8963025"/>
          <a:ext cx="5553075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10</xdr:col>
      <xdr:colOff>123825</xdr:colOff>
      <xdr:row>109</xdr:row>
      <xdr:rowOff>66675</xdr:rowOff>
    </xdr:to>
    <xdr:pic>
      <xdr:nvPicPr>
        <xdr:cNvPr id="3" name="图片 3" descr="未命名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15297150"/>
          <a:ext cx="7696200" cy="549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9"/>
  <sheetViews>
    <sheetView tabSelected="1" zoomScalePageLayoutView="0" workbookViewId="0" topLeftCell="AZ1">
      <pane xSplit="1" topLeftCell="A1" activePane="topRight" state="split"/>
      <selection pane="topLeft" activeCell="AZ28" sqref="AZ28"/>
      <selection pane="topRight" activeCell="M33" sqref="M33"/>
    </sheetView>
  </sheetViews>
  <sheetFormatPr defaultColWidth="9.00390625" defaultRowHeight="14.25"/>
  <cols>
    <col min="1" max="1" width="15.25390625" style="0" customWidth="1"/>
    <col min="2" max="2" width="13.25390625" style="0" customWidth="1"/>
    <col min="3" max="3" width="9.625" style="0" bestFit="1" customWidth="1"/>
    <col min="4" max="4" width="10.375" style="0" customWidth="1"/>
    <col min="5" max="5" width="9.625" style="0" bestFit="1" customWidth="1"/>
    <col min="7" max="7" width="12.50390625" style="0" customWidth="1"/>
    <col min="8" max="8" width="14.50390625" style="0" bestFit="1" customWidth="1"/>
    <col min="10" max="10" width="11.50390625" style="0" customWidth="1"/>
    <col min="11" max="11" width="15.00390625" style="0" bestFit="1" customWidth="1"/>
    <col min="12" max="12" width="7.125" style="0" customWidth="1"/>
    <col min="21" max="21" width="12.00390625" style="0" customWidth="1"/>
    <col min="22" max="22" width="12.875" style="0" customWidth="1"/>
    <col min="26" max="26" width="10.625" style="0" customWidth="1"/>
  </cols>
  <sheetData>
    <row r="1" spans="3:26" ht="14.25">
      <c r="C1" s="273" t="s">
        <v>132</v>
      </c>
      <c r="D1" s="274"/>
      <c r="E1" s="274"/>
      <c r="F1" s="274"/>
      <c r="G1" s="274"/>
      <c r="H1" s="185"/>
      <c r="I1" s="185"/>
      <c r="J1" s="185"/>
      <c r="S1" s="277" t="s">
        <v>128</v>
      </c>
      <c r="T1" s="277"/>
      <c r="U1" s="277"/>
      <c r="V1" s="277"/>
      <c r="W1" s="277"/>
      <c r="X1" s="277"/>
      <c r="Y1" s="277"/>
      <c r="Z1" s="185"/>
    </row>
    <row r="2" spans="3:26" ht="14.25">
      <c r="C2" s="274"/>
      <c r="D2" s="274"/>
      <c r="E2" s="274"/>
      <c r="F2" s="274"/>
      <c r="G2" s="274"/>
      <c r="H2" s="185"/>
      <c r="I2" s="185"/>
      <c r="J2" s="185"/>
      <c r="S2" s="277"/>
      <c r="T2" s="277"/>
      <c r="U2" s="277"/>
      <c r="V2" s="277"/>
      <c r="W2" s="277"/>
      <c r="X2" s="277"/>
      <c r="Y2" s="277"/>
      <c r="Z2" s="185"/>
    </row>
    <row r="3" spans="3:26" ht="15" thickBot="1">
      <c r="C3" s="275"/>
      <c r="D3" s="275"/>
      <c r="E3" s="275"/>
      <c r="F3" s="275"/>
      <c r="G3" s="275"/>
      <c r="H3" s="160"/>
      <c r="I3" s="160"/>
      <c r="J3" s="160"/>
      <c r="S3" s="185"/>
      <c r="T3" s="185"/>
      <c r="U3" s="185"/>
      <c r="V3" s="185"/>
      <c r="W3" s="185"/>
      <c r="X3" s="185"/>
      <c r="Y3" s="185"/>
      <c r="Z3" s="185"/>
    </row>
    <row r="4" spans="3:10" ht="14.25">
      <c r="C4" s="232" t="s">
        <v>0</v>
      </c>
      <c r="D4" s="196"/>
      <c r="E4" s="196"/>
      <c r="F4" s="196" t="s">
        <v>1</v>
      </c>
      <c r="G4" s="196"/>
      <c r="H4" s="197"/>
      <c r="I4" s="237" t="s">
        <v>32</v>
      </c>
      <c r="J4" s="238"/>
    </row>
    <row r="5" spans="3:12" ht="15" thickBot="1">
      <c r="C5" s="228" t="s">
        <v>3</v>
      </c>
      <c r="D5" s="229"/>
      <c r="E5" s="1">
        <v>264</v>
      </c>
      <c r="F5" s="229" t="s">
        <v>4</v>
      </c>
      <c r="G5" s="229"/>
      <c r="H5" s="3">
        <v>5</v>
      </c>
      <c r="I5" s="239"/>
      <c r="J5" s="240"/>
      <c r="L5" s="8"/>
    </row>
    <row r="6" spans="1:26" ht="14.25">
      <c r="A6" s="7"/>
      <c r="C6" s="228" t="s">
        <v>2</v>
      </c>
      <c r="D6" s="229"/>
      <c r="E6" s="1">
        <v>90</v>
      </c>
      <c r="F6" s="229" t="s">
        <v>5</v>
      </c>
      <c r="G6" s="229"/>
      <c r="H6" s="3">
        <v>6</v>
      </c>
      <c r="I6" s="239"/>
      <c r="J6" s="240"/>
      <c r="S6" s="161" t="s">
        <v>150</v>
      </c>
      <c r="T6" s="162"/>
      <c r="U6" s="162"/>
      <c r="V6" s="162"/>
      <c r="W6" s="162"/>
      <c r="X6" s="162"/>
      <c r="Y6" s="162"/>
      <c r="Z6" s="163"/>
    </row>
    <row r="7" spans="3:26" ht="15" thickBot="1">
      <c r="C7" s="228" t="s">
        <v>6</v>
      </c>
      <c r="D7" s="229"/>
      <c r="E7" s="1">
        <v>50</v>
      </c>
      <c r="F7" s="229" t="s">
        <v>11</v>
      </c>
      <c r="G7" s="229"/>
      <c r="H7" s="3">
        <v>85</v>
      </c>
      <c r="I7" s="239"/>
      <c r="J7" s="240"/>
      <c r="S7" s="164"/>
      <c r="T7" s="165"/>
      <c r="U7" s="165"/>
      <c r="V7" s="165"/>
      <c r="W7" s="165"/>
      <c r="X7" s="165"/>
      <c r="Y7" s="165"/>
      <c r="Z7" s="166"/>
    </row>
    <row r="8" spans="3:26" ht="14.25">
      <c r="C8" s="228" t="s">
        <v>7</v>
      </c>
      <c r="D8" s="229"/>
      <c r="E8" s="1">
        <v>65</v>
      </c>
      <c r="F8" s="229" t="s">
        <v>18</v>
      </c>
      <c r="G8" s="229"/>
      <c r="H8" s="3">
        <v>0.49</v>
      </c>
      <c r="I8" s="239"/>
      <c r="J8" s="240"/>
      <c r="S8" s="152" t="s">
        <v>163</v>
      </c>
      <c r="T8" s="150"/>
      <c r="U8" s="150"/>
      <c r="V8" s="125">
        <f>V15/SQRT(3*E7*V14/1000)</f>
        <v>0.41343206173554653</v>
      </c>
      <c r="W8" s="151" t="s">
        <v>164</v>
      </c>
      <c r="X8" s="150"/>
      <c r="Y8" s="150"/>
      <c r="Z8" s="138">
        <f>4*(V9*V15/4+0.001*V10*V8*V8)</f>
        <v>0.32519795774342486</v>
      </c>
    </row>
    <row r="9" spans="3:26" ht="14.25">
      <c r="C9" s="231" t="s">
        <v>126</v>
      </c>
      <c r="D9" s="230"/>
      <c r="E9" s="51">
        <f>H41/(E21+H41)</f>
        <v>0.49694491817350156</v>
      </c>
      <c r="F9" s="230" t="s">
        <v>85</v>
      </c>
      <c r="G9" s="230"/>
      <c r="H9" s="52">
        <f>((E41/E42)*(H5+H13))/(((E41/E42)*(H5+H13))+E21)</f>
        <v>0.49694491817350156</v>
      </c>
      <c r="I9" s="239"/>
      <c r="J9" s="240"/>
      <c r="S9" s="152" t="s">
        <v>165</v>
      </c>
      <c r="T9" s="150"/>
      <c r="U9" s="150"/>
      <c r="V9" s="125">
        <v>1</v>
      </c>
      <c r="W9" s="151"/>
      <c r="X9" s="150"/>
      <c r="Y9" s="150"/>
      <c r="Z9" s="138"/>
    </row>
    <row r="10" spans="3:26" ht="15" thickBot="1">
      <c r="C10" s="228" t="s">
        <v>10</v>
      </c>
      <c r="D10" s="229"/>
      <c r="E10" s="27">
        <f>H10/(H7/100)</f>
        <v>35.294117647058826</v>
      </c>
      <c r="F10" s="229" t="s">
        <v>9</v>
      </c>
      <c r="G10" s="229"/>
      <c r="H10" s="28">
        <f>H5*H6</f>
        <v>30</v>
      </c>
      <c r="I10" s="239"/>
      <c r="J10" s="240"/>
      <c r="K10" s="7"/>
      <c r="S10" s="280" t="s">
        <v>166</v>
      </c>
      <c r="T10" s="160"/>
      <c r="U10" s="160"/>
      <c r="V10" s="143">
        <v>70</v>
      </c>
      <c r="W10" s="281"/>
      <c r="X10" s="160"/>
      <c r="Y10" s="160"/>
      <c r="Z10" s="144"/>
    </row>
    <row r="11" spans="3:26" ht="16.5">
      <c r="C11" s="221" t="s">
        <v>13</v>
      </c>
      <c r="D11" s="222"/>
      <c r="E11" s="10">
        <v>68</v>
      </c>
      <c r="F11" s="222" t="s">
        <v>42</v>
      </c>
      <c r="G11" s="222"/>
      <c r="H11" s="11">
        <v>69</v>
      </c>
      <c r="I11" s="233" t="s">
        <v>197</v>
      </c>
      <c r="J11" s="234"/>
      <c r="K11" s="7"/>
      <c r="S11" s="161" t="s">
        <v>151</v>
      </c>
      <c r="T11" s="162"/>
      <c r="U11" s="162"/>
      <c r="V11" s="162"/>
      <c r="W11" s="162"/>
      <c r="X11" s="162"/>
      <c r="Y11" s="162"/>
      <c r="Z11" s="163"/>
    </row>
    <row r="12" spans="3:26" ht="17.25" thickBot="1">
      <c r="C12" s="221" t="s">
        <v>51</v>
      </c>
      <c r="D12" s="222"/>
      <c r="E12" s="29">
        <f>E10*1.5</f>
        <v>52.94117647058824</v>
      </c>
      <c r="F12" s="222" t="s">
        <v>44</v>
      </c>
      <c r="G12" s="222"/>
      <c r="H12" s="11">
        <v>2.4</v>
      </c>
      <c r="I12" s="241"/>
      <c r="J12" s="242"/>
      <c r="K12" s="7"/>
      <c r="S12" s="164"/>
      <c r="T12" s="165"/>
      <c r="U12" s="165"/>
      <c r="V12" s="165"/>
      <c r="W12" s="165"/>
      <c r="X12" s="165"/>
      <c r="Y12" s="165"/>
      <c r="Z12" s="166"/>
    </row>
    <row r="13" spans="3:26" ht="19.5" thickBot="1">
      <c r="C13" s="226" t="s">
        <v>123</v>
      </c>
      <c r="D13" s="227"/>
      <c r="E13" s="2">
        <v>80</v>
      </c>
      <c r="F13" s="225" t="s">
        <v>54</v>
      </c>
      <c r="G13" s="225"/>
      <c r="H13" s="12">
        <v>0.5</v>
      </c>
      <c r="I13" s="235"/>
      <c r="J13" s="236"/>
      <c r="S13" s="152" t="s">
        <v>157</v>
      </c>
      <c r="T13" s="150"/>
      <c r="U13" s="150"/>
      <c r="V13" s="125">
        <v>350</v>
      </c>
      <c r="W13" s="151" t="s">
        <v>160</v>
      </c>
      <c r="X13" s="150"/>
      <c r="Y13" s="150"/>
      <c r="Z13" s="138">
        <f>V15*SQRT(2000/3/E7/V14)</f>
        <v>0.5846812288262805</v>
      </c>
    </row>
    <row r="14" spans="3:26" ht="14.25">
      <c r="C14" s="245" t="s">
        <v>88</v>
      </c>
      <c r="D14" s="174"/>
      <c r="E14" s="174"/>
      <c r="F14" s="174"/>
      <c r="G14" s="174"/>
      <c r="H14" s="174"/>
      <c r="I14" s="174"/>
      <c r="J14" s="174"/>
      <c r="K14" s="26"/>
      <c r="S14" s="152" t="s">
        <v>158</v>
      </c>
      <c r="T14" s="150"/>
      <c r="U14" s="150"/>
      <c r="V14" s="125">
        <v>3</v>
      </c>
      <c r="W14" s="158"/>
      <c r="X14" s="150"/>
      <c r="Y14" s="150"/>
      <c r="Z14" s="137"/>
    </row>
    <row r="15" spans="3:26" ht="14.25">
      <c r="C15" s="150" t="s">
        <v>89</v>
      </c>
      <c r="D15" s="185"/>
      <c r="E15" s="185"/>
      <c r="F15" s="185"/>
      <c r="G15" s="185"/>
      <c r="H15" s="185"/>
      <c r="I15" s="185"/>
      <c r="J15" s="185"/>
      <c r="K15" s="26"/>
      <c r="S15" s="152" t="s">
        <v>161</v>
      </c>
      <c r="T15" s="150"/>
      <c r="U15" s="150"/>
      <c r="V15" s="136">
        <f>E10/(1.414*E6)</f>
        <v>0.2773386582355715</v>
      </c>
      <c r="W15" s="151" t="s">
        <v>159</v>
      </c>
      <c r="X15" s="150"/>
      <c r="Y15" s="150"/>
      <c r="Z15" s="141">
        <f>V13*Z13*Z13/1000</f>
        <v>0.11964824876963329</v>
      </c>
    </row>
    <row r="16" spans="3:26" ht="15" thickBot="1">
      <c r="C16" s="246" t="s">
        <v>82</v>
      </c>
      <c r="D16" s="185"/>
      <c r="E16" s="185"/>
      <c r="F16" s="185"/>
      <c r="G16" s="185"/>
      <c r="H16" s="185"/>
      <c r="I16" s="185"/>
      <c r="J16" s="185"/>
      <c r="K16" s="26"/>
      <c r="S16" s="167" t="s">
        <v>143</v>
      </c>
      <c r="T16" s="160"/>
      <c r="U16" s="160"/>
      <c r="V16" s="155" t="s">
        <v>162</v>
      </c>
      <c r="W16" s="156"/>
      <c r="X16" s="156"/>
      <c r="Y16" s="156"/>
      <c r="Z16" s="157"/>
    </row>
    <row r="17" spans="3:26" ht="14.25">
      <c r="C17" s="246" t="s">
        <v>83</v>
      </c>
      <c r="D17" s="185"/>
      <c r="E17" s="185"/>
      <c r="F17" s="185"/>
      <c r="G17" s="185"/>
      <c r="H17" s="185"/>
      <c r="I17" s="185"/>
      <c r="J17" s="185"/>
      <c r="K17" s="26"/>
      <c r="S17" s="278" t="s">
        <v>130</v>
      </c>
      <c r="T17" s="162"/>
      <c r="U17" s="162"/>
      <c r="V17" s="162"/>
      <c r="W17" s="162"/>
      <c r="X17" s="162"/>
      <c r="Y17" s="162"/>
      <c r="Z17" s="163"/>
    </row>
    <row r="18" spans="3:26" ht="15" thickBot="1">
      <c r="C18" s="185"/>
      <c r="D18" s="185"/>
      <c r="E18" s="185"/>
      <c r="F18" s="185"/>
      <c r="G18" s="185"/>
      <c r="H18" s="185"/>
      <c r="S18" s="164"/>
      <c r="T18" s="165"/>
      <c r="U18" s="165"/>
      <c r="V18" s="165"/>
      <c r="W18" s="165"/>
      <c r="X18" s="165"/>
      <c r="Y18" s="165"/>
      <c r="Z18" s="166"/>
    </row>
    <row r="19" spans="1:26" ht="15" thickBot="1">
      <c r="A19" s="50"/>
      <c r="B19" s="49"/>
      <c r="C19" s="223" t="s">
        <v>84</v>
      </c>
      <c r="D19" s="153"/>
      <c r="E19" s="153"/>
      <c r="F19" s="153"/>
      <c r="G19" s="153"/>
      <c r="H19" s="153"/>
      <c r="S19" s="173" t="s">
        <v>167</v>
      </c>
      <c r="T19" s="174"/>
      <c r="U19" s="174"/>
      <c r="V19" s="147">
        <v>2.5</v>
      </c>
      <c r="W19" s="284" t="s">
        <v>186</v>
      </c>
      <c r="X19" s="174"/>
      <c r="Y19" s="174"/>
      <c r="Z19" s="148">
        <f>V19*B35*B35*H9</f>
        <v>0.18836750535160923</v>
      </c>
    </row>
    <row r="20" spans="1:26" ht="15" thickBot="1">
      <c r="A20" s="102" t="s">
        <v>52</v>
      </c>
      <c r="B20" s="103"/>
      <c r="C20" s="224" t="s">
        <v>122</v>
      </c>
      <c r="D20" s="224"/>
      <c r="E20" s="104">
        <f>POWER(B24,0.5)</f>
        <v>94.51753283830905</v>
      </c>
      <c r="F20" s="224"/>
      <c r="G20" s="224"/>
      <c r="H20" s="105"/>
      <c r="I20" s="175" t="s">
        <v>27</v>
      </c>
      <c r="J20" s="176"/>
      <c r="S20" s="149" t="s">
        <v>190</v>
      </c>
      <c r="T20" s="150"/>
      <c r="U20" s="150"/>
      <c r="V20" s="125">
        <v>90</v>
      </c>
      <c r="W20" s="158" t="s">
        <v>187</v>
      </c>
      <c r="X20" s="150"/>
      <c r="Y20" s="150"/>
      <c r="Z20" s="138">
        <f>V20*B38*B38*E8/2000000000</f>
        <v>0.18998933732999998</v>
      </c>
    </row>
    <row r="21" spans="1:26" ht="14.25">
      <c r="A21" s="259" t="s">
        <v>8</v>
      </c>
      <c r="B21" s="260"/>
      <c r="C21" s="224" t="s">
        <v>121</v>
      </c>
      <c r="D21" s="224"/>
      <c r="E21" s="104">
        <f>E6*1.414*0.7</f>
        <v>89.082</v>
      </c>
      <c r="F21" s="224" t="s">
        <v>55</v>
      </c>
      <c r="G21" s="224"/>
      <c r="H21" s="105">
        <f>E13/(H5+H13)</f>
        <v>14.545454545454545</v>
      </c>
      <c r="I21" s="175"/>
      <c r="J21" s="176"/>
      <c r="S21" s="149" t="s">
        <v>191</v>
      </c>
      <c r="T21" s="150"/>
      <c r="U21" s="150"/>
      <c r="V21" s="125">
        <v>20</v>
      </c>
      <c r="W21" s="158" t="s">
        <v>188</v>
      </c>
      <c r="X21" s="150"/>
      <c r="Y21" s="150"/>
      <c r="Z21" s="138">
        <f>V21*E8*V22/1000000</f>
        <v>0.0169</v>
      </c>
    </row>
    <row r="22" spans="1:26" ht="14.25">
      <c r="A22" s="106" t="s">
        <v>17</v>
      </c>
      <c r="B22" s="107">
        <f>1/E7/2</f>
        <v>0.01</v>
      </c>
      <c r="C22" s="217" t="s">
        <v>20</v>
      </c>
      <c r="D22" s="217"/>
      <c r="E22" s="108">
        <f>1000*E21*B27/H11/0.16</f>
        <v>60.82801003344481</v>
      </c>
      <c r="F22" s="217" t="s">
        <v>22</v>
      </c>
      <c r="G22" s="217"/>
      <c r="H22" s="109">
        <f>E22/H21</f>
        <v>4.181925689799331</v>
      </c>
      <c r="I22" s="243" t="s">
        <v>28</v>
      </c>
      <c r="J22" s="244"/>
      <c r="L22" s="9"/>
      <c r="S22" s="149" t="s">
        <v>192</v>
      </c>
      <c r="T22" s="150"/>
      <c r="U22" s="150"/>
      <c r="V22" s="125">
        <v>13</v>
      </c>
      <c r="W22" s="158" t="s">
        <v>189</v>
      </c>
      <c r="X22" s="150"/>
      <c r="Y22" s="150"/>
      <c r="Z22" s="138">
        <f>B30*B38*E8*(V23+V24)/2000000</f>
        <v>1.2679157151825626</v>
      </c>
    </row>
    <row r="23" spans="1:26" ht="14.25">
      <c r="A23" s="106" t="s">
        <v>14</v>
      </c>
      <c r="B23" s="110">
        <v>0.003</v>
      </c>
      <c r="C23" s="217" t="s">
        <v>21</v>
      </c>
      <c r="D23" s="217"/>
      <c r="E23" s="108">
        <f>1000*E21*B27/H11/0.3</f>
        <v>32.441605351170566</v>
      </c>
      <c r="F23" s="217" t="s">
        <v>23</v>
      </c>
      <c r="G23" s="217"/>
      <c r="H23" s="109">
        <f>E23/H21</f>
        <v>2.2303603678929766</v>
      </c>
      <c r="I23" s="243" t="s">
        <v>29</v>
      </c>
      <c r="J23" s="244"/>
      <c r="S23" s="170" t="s">
        <v>194</v>
      </c>
      <c r="T23" s="150"/>
      <c r="U23" s="150"/>
      <c r="V23" s="125">
        <v>100</v>
      </c>
      <c r="W23" s="158"/>
      <c r="X23" s="150"/>
      <c r="Y23" s="150"/>
      <c r="Z23" s="138"/>
    </row>
    <row r="24" spans="1:26" ht="17.25" thickBot="1">
      <c r="A24" s="106" t="s">
        <v>12</v>
      </c>
      <c r="B24" s="111">
        <f>B25-B26</f>
        <v>8933.564013840829</v>
      </c>
      <c r="C24" s="217"/>
      <c r="D24" s="217"/>
      <c r="E24" s="112"/>
      <c r="F24" s="217"/>
      <c r="G24" s="217"/>
      <c r="H24" s="113"/>
      <c r="I24" s="243"/>
      <c r="J24" s="244"/>
      <c r="S24" s="171" t="s">
        <v>195</v>
      </c>
      <c r="T24" s="160"/>
      <c r="U24" s="160"/>
      <c r="V24" s="143">
        <v>60</v>
      </c>
      <c r="W24" s="159" t="s">
        <v>196</v>
      </c>
      <c r="X24" s="160"/>
      <c r="Y24" s="160"/>
      <c r="Z24" s="144">
        <f>SUM(Z19:Z22)</f>
        <v>1.6631725578641718</v>
      </c>
    </row>
    <row r="25" spans="1:26" ht="14.25">
      <c r="A25" s="106" t="s">
        <v>15</v>
      </c>
      <c r="B25" s="114">
        <f>E6*E6*2</f>
        <v>16200</v>
      </c>
      <c r="C25" s="217" t="s">
        <v>56</v>
      </c>
      <c r="D25" s="217"/>
      <c r="E25" s="115">
        <v>3</v>
      </c>
      <c r="F25" s="217" t="s">
        <v>57</v>
      </c>
      <c r="G25" s="217"/>
      <c r="H25" s="109">
        <f>E25*H21</f>
        <v>43.63636363636363</v>
      </c>
      <c r="I25" s="243"/>
      <c r="J25" s="244"/>
      <c r="S25" s="278" t="s">
        <v>129</v>
      </c>
      <c r="T25" s="162"/>
      <c r="U25" s="162"/>
      <c r="V25" s="162"/>
      <c r="W25" s="162"/>
      <c r="X25" s="162"/>
      <c r="Y25" s="162"/>
      <c r="Z25" s="163"/>
    </row>
    <row r="26" spans="1:26" ht="19.5" thickBot="1">
      <c r="A26" s="106" t="s">
        <v>16</v>
      </c>
      <c r="B26" s="116">
        <f>2*1000000*E10*(B22-B23)/E11</f>
        <v>7266.435986159171</v>
      </c>
      <c r="C26" s="217"/>
      <c r="D26" s="217"/>
      <c r="E26" s="117"/>
      <c r="F26" s="216" t="s">
        <v>90</v>
      </c>
      <c r="G26" s="217"/>
      <c r="H26" s="118">
        <f>H5+0.4+1.414*E25*E5/H25</f>
        <v>31.064100000000003</v>
      </c>
      <c r="I26" s="243"/>
      <c r="J26" s="244"/>
      <c r="M26" t="s">
        <v>43</v>
      </c>
      <c r="S26" s="164"/>
      <c r="T26" s="165"/>
      <c r="U26" s="165"/>
      <c r="V26" s="165"/>
      <c r="W26" s="165"/>
      <c r="X26" s="165"/>
      <c r="Y26" s="165"/>
      <c r="Z26" s="166"/>
    </row>
    <row r="27" spans="1:26" ht="15" thickBot="1">
      <c r="A27" s="119" t="s">
        <v>19</v>
      </c>
      <c r="B27" s="120">
        <f>H8/E8</f>
        <v>0.007538461538461538</v>
      </c>
      <c r="C27" s="218" t="s">
        <v>60</v>
      </c>
      <c r="D27" s="218"/>
      <c r="E27" s="121">
        <f>1000*E21*B27/H11/0.23</f>
        <v>42.3151374145703</v>
      </c>
      <c r="F27" s="218" t="s">
        <v>72</v>
      </c>
      <c r="G27" s="218"/>
      <c r="H27" s="122">
        <f>E27/H21</f>
        <v>2.909165697251708</v>
      </c>
      <c r="I27" s="268" t="s">
        <v>61</v>
      </c>
      <c r="J27" s="269"/>
      <c r="S27" s="168" t="s">
        <v>180</v>
      </c>
      <c r="T27" s="169"/>
      <c r="U27" s="169"/>
      <c r="V27" s="142">
        <v>0.3776</v>
      </c>
      <c r="W27" s="151" t="s">
        <v>168</v>
      </c>
      <c r="X27" s="150"/>
      <c r="Y27" s="150"/>
      <c r="Z27" s="137">
        <v>1.4</v>
      </c>
    </row>
    <row r="28" spans="1:26" ht="15" thickBot="1">
      <c r="A28" s="40"/>
      <c r="B28" s="41"/>
      <c r="C28" s="38"/>
      <c r="D28" s="38"/>
      <c r="E28" s="39"/>
      <c r="F28" s="38"/>
      <c r="G28" s="38"/>
      <c r="H28" s="39"/>
      <c r="I28" s="42"/>
      <c r="J28" s="42"/>
      <c r="S28" s="152" t="s">
        <v>176</v>
      </c>
      <c r="T28" s="150"/>
      <c r="U28" s="150"/>
      <c r="V28" s="125">
        <f>H9*B30</f>
        <v>0.47543769983240824</v>
      </c>
      <c r="W28" s="151" t="s">
        <v>169</v>
      </c>
      <c r="X28" s="150"/>
      <c r="Y28" s="150"/>
      <c r="Z28" s="138">
        <f>V28*V28*V27</f>
        <v>0.08535308402492119</v>
      </c>
    </row>
    <row r="29" spans="1:26" ht="19.5" thickBot="1">
      <c r="A29" s="219" t="s">
        <v>53</v>
      </c>
      <c r="B29" s="220"/>
      <c r="C29" s="65"/>
      <c r="D29" s="65"/>
      <c r="E29" s="65"/>
      <c r="F29" s="65"/>
      <c r="G29" s="65"/>
      <c r="H29" s="65"/>
      <c r="I29" s="183" t="s">
        <v>92</v>
      </c>
      <c r="J29" s="184"/>
      <c r="K29" s="66">
        <f>H5+H13+1.45*1.414*H30*E5/E30</f>
        <v>39.329950000000004</v>
      </c>
      <c r="M29" t="s">
        <v>39</v>
      </c>
      <c r="S29" s="152" t="s">
        <v>175</v>
      </c>
      <c r="T29" s="150"/>
      <c r="U29" s="150"/>
      <c r="V29" s="125">
        <f>SQRT(H9*B30*B30)</f>
        <v>0.6744340514562799</v>
      </c>
      <c r="W29" s="151" t="s">
        <v>170</v>
      </c>
      <c r="X29" s="150"/>
      <c r="Y29" s="150"/>
      <c r="Z29" s="138">
        <f>V30*V30*Z33</f>
        <v>0.1036830467878368</v>
      </c>
    </row>
    <row r="30" spans="1:26" ht="18.75">
      <c r="A30" s="67" t="s">
        <v>86</v>
      </c>
      <c r="B30" s="68">
        <f>B33*2*E10/(E21*H9)</f>
        <v>0.9567211222923013</v>
      </c>
      <c r="C30" s="203" t="s">
        <v>58</v>
      </c>
      <c r="D30" s="204"/>
      <c r="E30" s="69">
        <v>48</v>
      </c>
      <c r="F30" s="204" t="s">
        <v>59</v>
      </c>
      <c r="G30" s="204"/>
      <c r="H30" s="70">
        <v>3</v>
      </c>
      <c r="I30" s="183" t="s">
        <v>106</v>
      </c>
      <c r="J30" s="184"/>
      <c r="K30" s="71">
        <f>H5+H13+1.414*H30*E5/E30</f>
        <v>28.831</v>
      </c>
      <c r="M30" t="s">
        <v>40</v>
      </c>
      <c r="S30" s="152" t="s">
        <v>174</v>
      </c>
      <c r="T30" s="150"/>
      <c r="U30" s="150"/>
      <c r="V30" s="125">
        <f>SQRT(V29*V29-V28*V28)</f>
        <v>0.47835163148232374</v>
      </c>
      <c r="W30" s="151" t="s">
        <v>171</v>
      </c>
      <c r="X30" s="150"/>
      <c r="Y30" s="150"/>
      <c r="Z30" s="138">
        <f>V31*V32*V32</f>
        <v>1.08</v>
      </c>
    </row>
    <row r="31" spans="1:32" ht="18.75">
      <c r="A31" s="72" t="s">
        <v>30</v>
      </c>
      <c r="B31" s="73">
        <f>1*E21*E21*H9*H9/(2*E10*E8*B33)</f>
        <v>0.7118680374399501</v>
      </c>
      <c r="C31" s="267" t="s">
        <v>24</v>
      </c>
      <c r="D31" s="201"/>
      <c r="E31" s="74">
        <v>13</v>
      </c>
      <c r="F31" s="201" t="s">
        <v>26</v>
      </c>
      <c r="G31" s="201"/>
      <c r="H31" s="75">
        <f>H30*E31/H5</f>
        <v>7.8</v>
      </c>
      <c r="I31" s="270" t="s">
        <v>33</v>
      </c>
      <c r="J31" s="209"/>
      <c r="K31" s="76">
        <f>E31+0.4+1.414*H31*E5/E30</f>
        <v>74.0606</v>
      </c>
      <c r="M31" t="s">
        <v>41</v>
      </c>
      <c r="S31" s="168" t="s">
        <v>173</v>
      </c>
      <c r="T31" s="169"/>
      <c r="U31" s="169"/>
      <c r="V31" s="142">
        <v>0.03</v>
      </c>
      <c r="W31" s="151" t="s">
        <v>172</v>
      </c>
      <c r="X31" s="150"/>
      <c r="Y31" s="150"/>
      <c r="Z31" s="138">
        <f>V34*V34*Z34</f>
        <v>0.11851473738703465</v>
      </c>
      <c r="AA31" s="282" t="s">
        <v>183</v>
      </c>
      <c r="AB31" s="283"/>
      <c r="AC31" s="283"/>
      <c r="AD31" s="283"/>
      <c r="AE31" s="283"/>
      <c r="AF31" s="283"/>
    </row>
    <row r="32" spans="1:32" ht="19.5" thickBot="1">
      <c r="A32" s="77" t="s">
        <v>31</v>
      </c>
      <c r="B32" s="78">
        <f>1000*B30*B31/E30/H11</f>
        <v>0.20563381271242964</v>
      </c>
      <c r="C32" s="205" t="s">
        <v>25</v>
      </c>
      <c r="D32" s="202"/>
      <c r="E32" s="79">
        <v>26</v>
      </c>
      <c r="F32" s="202" t="s">
        <v>26</v>
      </c>
      <c r="G32" s="202"/>
      <c r="H32" s="80">
        <f>H30*E32/H5</f>
        <v>15.6</v>
      </c>
      <c r="I32" s="205" t="s">
        <v>34</v>
      </c>
      <c r="J32" s="202"/>
      <c r="K32" s="81">
        <f>E32+0.4+1.414*H32*E5/E30</f>
        <v>147.72119999999998</v>
      </c>
      <c r="M32" t="s">
        <v>36</v>
      </c>
      <c r="S32" s="152" t="s">
        <v>177</v>
      </c>
      <c r="T32" s="150"/>
      <c r="U32" s="150"/>
      <c r="V32" s="125">
        <f>H6</f>
        <v>6</v>
      </c>
      <c r="W32" s="151"/>
      <c r="X32" s="150"/>
      <c r="Y32" s="150"/>
      <c r="Z32" s="138"/>
      <c r="AA32" s="283"/>
      <c r="AB32" s="283"/>
      <c r="AC32" s="283"/>
      <c r="AD32" s="283"/>
      <c r="AE32" s="283"/>
      <c r="AF32" s="283"/>
    </row>
    <row r="33" spans="1:32" ht="18.75">
      <c r="A33" s="82" t="s">
        <v>99</v>
      </c>
      <c r="B33" s="206">
        <v>0.6</v>
      </c>
      <c r="C33" s="200" t="s">
        <v>107</v>
      </c>
      <c r="D33" s="201"/>
      <c r="E33" s="83">
        <f>E31+0.4+1.414*H31*E5/E30</f>
        <v>74.0606</v>
      </c>
      <c r="F33" s="201" t="s">
        <v>45</v>
      </c>
      <c r="G33" s="201"/>
      <c r="H33" s="84">
        <f>0.4*3.1415*H11*(E30*E30/K33/1000000-1/1000/H12)</f>
        <v>0.18583857400000003</v>
      </c>
      <c r="I33" s="203" t="s">
        <v>93</v>
      </c>
      <c r="J33" s="204"/>
      <c r="K33" s="85">
        <v>0.9</v>
      </c>
      <c r="M33" t="s">
        <v>38</v>
      </c>
      <c r="S33" s="152" t="s">
        <v>179</v>
      </c>
      <c r="T33" s="150"/>
      <c r="U33" s="150"/>
      <c r="V33" s="125">
        <f>B36</f>
        <v>6.268339177049112</v>
      </c>
      <c r="W33" s="151" t="s">
        <v>181</v>
      </c>
      <c r="X33" s="276"/>
      <c r="Y33" s="276"/>
      <c r="Z33" s="139">
        <f>1.2*V27</f>
        <v>0.45311999999999997</v>
      </c>
      <c r="AA33" s="283"/>
      <c r="AB33" s="283"/>
      <c r="AC33" s="283"/>
      <c r="AD33" s="283"/>
      <c r="AE33" s="283"/>
      <c r="AF33" s="283"/>
    </row>
    <row r="34" spans="1:32" ht="19.5" thickBot="1">
      <c r="A34" s="86" t="s">
        <v>100</v>
      </c>
      <c r="B34" s="207"/>
      <c r="C34" s="266" t="s">
        <v>108</v>
      </c>
      <c r="D34" s="202"/>
      <c r="E34" s="87">
        <f>E32+0.4+1.414*H32*E5/E30</f>
        <v>147.72119999999998</v>
      </c>
      <c r="F34" s="202" t="s">
        <v>46</v>
      </c>
      <c r="G34" s="202"/>
      <c r="H34" s="88">
        <f>1000*K33/E30/E30</f>
        <v>0.390625</v>
      </c>
      <c r="I34" s="271" t="s">
        <v>95</v>
      </c>
      <c r="J34" s="202"/>
      <c r="K34" s="89">
        <f>E41*H11*K36/K33</f>
        <v>756.7324307817411</v>
      </c>
      <c r="M34" t="s">
        <v>37</v>
      </c>
      <c r="S34" s="152" t="s">
        <v>178</v>
      </c>
      <c r="T34" s="150"/>
      <c r="U34" s="150"/>
      <c r="V34" s="125">
        <f>SQRT(V33*V33-V32*V32)</f>
        <v>1.8144079030165021</v>
      </c>
      <c r="W34" s="151" t="s">
        <v>182</v>
      </c>
      <c r="X34" s="150"/>
      <c r="Y34" s="150"/>
      <c r="Z34" s="140">
        <f>1.2*V31</f>
        <v>0.036</v>
      </c>
      <c r="AA34" s="283"/>
      <c r="AB34" s="283"/>
      <c r="AC34" s="283"/>
      <c r="AD34" s="283"/>
      <c r="AE34" s="283"/>
      <c r="AF34" s="283"/>
    </row>
    <row r="35" spans="1:32" ht="18.75">
      <c r="A35" s="67" t="s">
        <v>96</v>
      </c>
      <c r="B35" s="90">
        <f>B30*(POWER(H9/3,0.5))</f>
        <v>0.38938468115893304</v>
      </c>
      <c r="C35" s="203"/>
      <c r="D35" s="204"/>
      <c r="E35" s="91"/>
      <c r="F35" s="204"/>
      <c r="G35" s="204"/>
      <c r="H35" s="90"/>
      <c r="I35" s="272" t="s">
        <v>94</v>
      </c>
      <c r="J35" s="204"/>
      <c r="K35" s="68">
        <f>K34/1000</f>
        <v>0.7567324307817411</v>
      </c>
      <c r="M35" t="s">
        <v>47</v>
      </c>
      <c r="S35" s="40"/>
      <c r="T35" s="14"/>
      <c r="U35" s="14"/>
      <c r="V35" s="14"/>
      <c r="W35" s="151" t="s">
        <v>184</v>
      </c>
      <c r="X35" s="150"/>
      <c r="Y35" s="150"/>
      <c r="Z35" s="141">
        <f>SUM(Z27:Z31)</f>
        <v>2.787550868199793</v>
      </c>
      <c r="AA35" s="283"/>
      <c r="AB35" s="283"/>
      <c r="AC35" s="283"/>
      <c r="AD35" s="283"/>
      <c r="AE35" s="283"/>
      <c r="AF35" s="283"/>
    </row>
    <row r="36" spans="1:26" ht="19.5" thickBot="1">
      <c r="A36" s="92" t="s">
        <v>97</v>
      </c>
      <c r="B36" s="76">
        <f>C44*B30*POWER((1-H9)/3,0.5)</f>
        <v>6.268339177049112</v>
      </c>
      <c r="C36" s="208" t="s">
        <v>98</v>
      </c>
      <c r="D36" s="209"/>
      <c r="E36" s="93">
        <f>POWER(B36*B36-H6*H6,0.5)</f>
        <v>1.8144079030165021</v>
      </c>
      <c r="F36" s="209" t="s">
        <v>49</v>
      </c>
      <c r="G36" s="209"/>
      <c r="H36" s="94">
        <f>1.13*POWER(B36/5.18,0.5)</f>
        <v>1.243053462351983</v>
      </c>
      <c r="I36" s="208" t="s">
        <v>87</v>
      </c>
      <c r="J36" s="209"/>
      <c r="K36" s="73">
        <f>B32</f>
        <v>0.20563381271242964</v>
      </c>
      <c r="M36" t="s">
        <v>48</v>
      </c>
      <c r="S36" s="167" t="s">
        <v>143</v>
      </c>
      <c r="T36" s="160"/>
      <c r="U36" s="160"/>
      <c r="V36" s="155" t="s">
        <v>185</v>
      </c>
      <c r="W36" s="156"/>
      <c r="X36" s="156"/>
      <c r="Y36" s="156"/>
      <c r="Z36" s="157"/>
    </row>
    <row r="37" spans="1:26" ht="15" thickBot="1">
      <c r="A37" s="95" t="s">
        <v>35</v>
      </c>
      <c r="B37" s="96">
        <f>1.414*E5+1.45*H41</f>
        <v>500.89599999999996</v>
      </c>
      <c r="C37" s="198" t="s">
        <v>91</v>
      </c>
      <c r="D37" s="199"/>
      <c r="E37" s="96">
        <f>1.414*E5+H41</f>
        <v>461.296</v>
      </c>
      <c r="F37" s="202" t="s">
        <v>50</v>
      </c>
      <c r="G37" s="202"/>
      <c r="H37" s="97">
        <f>2*POWER(H6/5/3.1416,0.5)</f>
        <v>1.2360760012333616</v>
      </c>
      <c r="I37" s="205" t="s">
        <v>104</v>
      </c>
      <c r="J37" s="202"/>
      <c r="K37" s="81">
        <f>1.0522*E41*H11*K36/K33</f>
        <v>796.2338636685479</v>
      </c>
      <c r="S37" s="278" t="s">
        <v>131</v>
      </c>
      <c r="T37" s="162"/>
      <c r="U37" s="162"/>
      <c r="V37" s="162"/>
      <c r="W37" s="162"/>
      <c r="X37" s="162"/>
      <c r="Y37" s="162"/>
      <c r="Z37" s="163"/>
    </row>
    <row r="38" spans="1:26" ht="15" thickBot="1">
      <c r="A38" s="98" t="s">
        <v>193</v>
      </c>
      <c r="B38" s="146">
        <f>1.414*E6+1.45*H41</f>
        <v>254.85999999999999</v>
      </c>
      <c r="C38" s="192"/>
      <c r="D38" s="193"/>
      <c r="E38" s="99"/>
      <c r="F38" s="192"/>
      <c r="G38" s="193"/>
      <c r="H38" s="100"/>
      <c r="I38" s="190" t="s">
        <v>105</v>
      </c>
      <c r="J38" s="191"/>
      <c r="K38" s="101">
        <f>0.93737*E41*H11*K36/K33</f>
        <v>709.3382786418807</v>
      </c>
      <c r="S38" s="164"/>
      <c r="T38" s="165"/>
      <c r="U38" s="165"/>
      <c r="V38" s="165"/>
      <c r="W38" s="165"/>
      <c r="X38" s="165"/>
      <c r="Y38" s="165"/>
      <c r="Z38" s="166"/>
    </row>
    <row r="39" spans="1:26" ht="14.25">
      <c r="A39" s="14"/>
      <c r="B39" s="15"/>
      <c r="C39" s="13"/>
      <c r="D39" s="13"/>
      <c r="E39" s="16"/>
      <c r="F39" s="13"/>
      <c r="G39" s="13"/>
      <c r="H39" s="17"/>
      <c r="I39" s="44"/>
      <c r="J39" s="13"/>
      <c r="K39" s="43"/>
      <c r="S39" s="149" t="s">
        <v>133</v>
      </c>
      <c r="T39" s="150"/>
      <c r="U39" s="150"/>
      <c r="V39" s="125">
        <f>H41</f>
        <v>88</v>
      </c>
      <c r="W39" s="172" t="s">
        <v>145</v>
      </c>
      <c r="X39" s="154"/>
      <c r="Y39" s="150"/>
      <c r="Z39" s="133">
        <f>V47*V45</f>
        <v>3</v>
      </c>
    </row>
    <row r="40" spans="1:26" ht="15" thickBot="1">
      <c r="A40" s="210" t="s">
        <v>62</v>
      </c>
      <c r="B40" s="150"/>
      <c r="S40" s="149" t="s">
        <v>134</v>
      </c>
      <c r="T40" s="150"/>
      <c r="U40" s="150"/>
      <c r="V40" s="124">
        <f>H9</f>
        <v>0.49694491817350156</v>
      </c>
      <c r="W40" s="172" t="s">
        <v>146</v>
      </c>
      <c r="X40" s="154"/>
      <c r="Y40" s="150"/>
      <c r="Z40" s="134">
        <f>V39*V41*V40/1000</f>
        <v>0.08746230559853628</v>
      </c>
    </row>
    <row r="41" spans="1:26" ht="18.75">
      <c r="A41" s="254"/>
      <c r="B41" s="255"/>
      <c r="C41" s="53"/>
      <c r="D41" s="53" t="s">
        <v>63</v>
      </c>
      <c r="E41" s="54">
        <f>E30</f>
        <v>48</v>
      </c>
      <c r="F41" s="212" t="s">
        <v>124</v>
      </c>
      <c r="G41" s="212"/>
      <c r="H41" s="55">
        <f>E41*(H5+H13)/E42</f>
        <v>88</v>
      </c>
      <c r="I41" s="247" t="s">
        <v>125</v>
      </c>
      <c r="J41" s="248"/>
      <c r="K41" s="248"/>
      <c r="L41" s="249"/>
      <c r="S41" s="149" t="s">
        <v>135</v>
      </c>
      <c r="T41" s="150"/>
      <c r="U41" s="150"/>
      <c r="V41" s="128">
        <v>2</v>
      </c>
      <c r="W41" s="172" t="s">
        <v>147</v>
      </c>
      <c r="X41" s="154"/>
      <c r="Y41" s="150"/>
      <c r="Z41" s="145">
        <f>0.5*V39*V42*V43*V48/1000000</f>
        <v>0.0572</v>
      </c>
    </row>
    <row r="42" spans="1:26" ht="14.25">
      <c r="A42" s="214" t="s">
        <v>127</v>
      </c>
      <c r="B42" s="215"/>
      <c r="C42" s="56">
        <f>1000*K33*B30/E41/H11</f>
        <v>0.25997856584029927</v>
      </c>
      <c r="D42" s="57" t="s">
        <v>64</v>
      </c>
      <c r="E42" s="58">
        <f>H30</f>
        <v>3</v>
      </c>
      <c r="F42" s="213" t="s">
        <v>70</v>
      </c>
      <c r="G42" s="213"/>
      <c r="H42" s="59">
        <f>H5</f>
        <v>5</v>
      </c>
      <c r="I42" s="250"/>
      <c r="J42" s="251"/>
      <c r="K42" s="251"/>
      <c r="L42" s="252"/>
      <c r="S42" s="149" t="s">
        <v>136</v>
      </c>
      <c r="T42" s="150"/>
      <c r="U42" s="150"/>
      <c r="V42" s="127">
        <v>1</v>
      </c>
      <c r="W42" s="279" t="s">
        <v>144</v>
      </c>
      <c r="X42" s="279"/>
      <c r="Y42" s="150"/>
      <c r="Z42" s="134">
        <f>V44*Z48</f>
        <v>157.2331152799268</v>
      </c>
    </row>
    <row r="43" spans="1:26" ht="14.25">
      <c r="A43" s="256" t="s">
        <v>67</v>
      </c>
      <c r="B43" s="215"/>
      <c r="C43" s="56">
        <f>K33</f>
        <v>0.9</v>
      </c>
      <c r="D43" s="57" t="s">
        <v>65</v>
      </c>
      <c r="E43" s="60">
        <f>H31</f>
        <v>7.8</v>
      </c>
      <c r="F43" s="213" t="s">
        <v>68</v>
      </c>
      <c r="G43" s="213"/>
      <c r="H43" s="59">
        <f>E31</f>
        <v>13</v>
      </c>
      <c r="I43" s="253" t="s">
        <v>102</v>
      </c>
      <c r="J43" s="251"/>
      <c r="K43" s="251"/>
      <c r="L43" s="252"/>
      <c r="S43" s="149" t="s">
        <v>137</v>
      </c>
      <c r="T43" s="150"/>
      <c r="U43" s="150"/>
      <c r="V43" s="126">
        <v>20</v>
      </c>
      <c r="W43" s="153"/>
      <c r="X43" s="154"/>
      <c r="Y43" s="150"/>
      <c r="Z43" s="135"/>
    </row>
    <row r="44" spans="1:26" ht="15" thickBot="1">
      <c r="A44" s="257" t="s">
        <v>55</v>
      </c>
      <c r="B44" s="258"/>
      <c r="C44" s="61">
        <f>E41/E42</f>
        <v>16</v>
      </c>
      <c r="D44" s="62" t="s">
        <v>66</v>
      </c>
      <c r="E44" s="63">
        <f>H32</f>
        <v>15.6</v>
      </c>
      <c r="F44" s="211" t="s">
        <v>69</v>
      </c>
      <c r="G44" s="211"/>
      <c r="H44" s="64">
        <f>E32</f>
        <v>26</v>
      </c>
      <c r="I44" s="263" t="s">
        <v>103</v>
      </c>
      <c r="J44" s="264"/>
      <c r="K44" s="264"/>
      <c r="L44" s="265"/>
      <c r="S44" s="149" t="s">
        <v>138</v>
      </c>
      <c r="T44" s="150"/>
      <c r="U44" s="150"/>
      <c r="V44" s="132">
        <v>50</v>
      </c>
      <c r="W44" s="153"/>
      <c r="X44" s="154"/>
      <c r="Y44" s="150"/>
      <c r="Z44" s="135"/>
    </row>
    <row r="45" spans="1:26" ht="15" thickBot="1">
      <c r="A45" s="18" t="s">
        <v>80</v>
      </c>
      <c r="S45" s="149" t="s">
        <v>139</v>
      </c>
      <c r="T45" s="150"/>
      <c r="U45" s="150"/>
      <c r="V45" s="127">
        <f>H6</f>
        <v>6</v>
      </c>
      <c r="W45" s="153"/>
      <c r="X45" s="154"/>
      <c r="Y45" s="150"/>
      <c r="Z45" s="135"/>
    </row>
    <row r="46" spans="2:26" ht="14.25">
      <c r="B46" s="194" t="s">
        <v>81</v>
      </c>
      <c r="C46" s="195"/>
      <c r="D46" s="195" t="s">
        <v>78</v>
      </c>
      <c r="E46" s="196"/>
      <c r="F46" s="196" t="s">
        <v>79</v>
      </c>
      <c r="G46" s="197"/>
      <c r="S46" s="149" t="s">
        <v>140</v>
      </c>
      <c r="T46" s="150"/>
      <c r="U46" s="150"/>
      <c r="V46" s="131">
        <v>1000</v>
      </c>
      <c r="W46" s="153"/>
      <c r="X46" s="154"/>
      <c r="Y46" s="150"/>
      <c r="Z46" s="135"/>
    </row>
    <row r="47" spans="2:26" ht="14.25">
      <c r="B47" s="4" t="s">
        <v>71</v>
      </c>
      <c r="C47" s="22">
        <f>E27+1.8</f>
        <v>44.1151374145703</v>
      </c>
      <c r="D47" s="20" t="s">
        <v>71</v>
      </c>
      <c r="E47" s="22">
        <f>E27+1.8</f>
        <v>44.1151374145703</v>
      </c>
      <c r="F47" s="5" t="s">
        <v>75</v>
      </c>
      <c r="G47" s="24">
        <f>E27+1.8</f>
        <v>44.1151374145703</v>
      </c>
      <c r="S47" s="149" t="s">
        <v>141</v>
      </c>
      <c r="T47" s="150"/>
      <c r="U47" s="150"/>
      <c r="V47" s="130">
        <v>0.5</v>
      </c>
      <c r="W47" s="153"/>
      <c r="X47" s="154"/>
      <c r="Y47" s="150"/>
      <c r="Z47" s="135"/>
    </row>
    <row r="48" spans="2:26" ht="14.25">
      <c r="B48" s="4" t="s">
        <v>73</v>
      </c>
      <c r="C48" s="22">
        <f>H27+1.8</f>
        <v>4.709165697251708</v>
      </c>
      <c r="D48" s="20" t="s">
        <v>73</v>
      </c>
      <c r="E48" s="22">
        <f>H27+1.8</f>
        <v>4.709165697251708</v>
      </c>
      <c r="F48" s="5" t="s">
        <v>76</v>
      </c>
      <c r="G48" s="24">
        <f>H27+0.8</f>
        <v>3.7091656972517084</v>
      </c>
      <c r="S48" s="149" t="s">
        <v>142</v>
      </c>
      <c r="T48" s="150"/>
      <c r="U48" s="150"/>
      <c r="V48" s="129">
        <f>E8</f>
        <v>65</v>
      </c>
      <c r="W48" s="172" t="s">
        <v>148</v>
      </c>
      <c r="X48" s="279"/>
      <c r="Y48" s="150"/>
      <c r="Z48" s="133">
        <f>Z39+Z40+Z41</f>
        <v>3.144662305598536</v>
      </c>
    </row>
    <row r="49" spans="2:26" ht="15" thickBot="1">
      <c r="B49" s="6" t="s">
        <v>77</v>
      </c>
      <c r="C49" s="23">
        <f>E48*E31/H5</f>
        <v>12.243830812854442</v>
      </c>
      <c r="D49" s="21" t="s">
        <v>77</v>
      </c>
      <c r="E49" s="23">
        <f>E48*E31/H5</f>
        <v>12.243830812854442</v>
      </c>
      <c r="F49" s="19" t="s">
        <v>74</v>
      </c>
      <c r="G49" s="25">
        <f>G48*E31/H5</f>
        <v>9.643830812854443</v>
      </c>
      <c r="S49" s="167" t="s">
        <v>143</v>
      </c>
      <c r="T49" s="160"/>
      <c r="U49" s="160"/>
      <c r="V49" s="49"/>
      <c r="W49" s="160"/>
      <c r="X49" s="160"/>
      <c r="Y49" s="160"/>
      <c r="Z49" s="123"/>
    </row>
    <row r="50" spans="19:26" ht="14.25">
      <c r="S50" s="161" t="s">
        <v>152</v>
      </c>
      <c r="T50" s="162"/>
      <c r="U50" s="162"/>
      <c r="V50" s="162"/>
      <c r="W50" s="162"/>
      <c r="X50" s="162"/>
      <c r="Y50" s="162"/>
      <c r="Z50" s="163"/>
    </row>
    <row r="51" spans="19:26" ht="15" thickBot="1">
      <c r="S51" s="164"/>
      <c r="T51" s="165"/>
      <c r="U51" s="165"/>
      <c r="V51" s="165"/>
      <c r="W51" s="165"/>
      <c r="X51" s="165"/>
      <c r="Y51" s="165"/>
      <c r="Z51" s="166"/>
    </row>
    <row r="52" spans="1:26" ht="14.25">
      <c r="A52" s="261" t="s">
        <v>101</v>
      </c>
      <c r="B52" s="262"/>
      <c r="C52" s="262"/>
      <c r="D52" s="262"/>
      <c r="E52" s="262"/>
      <c r="F52" s="262"/>
      <c r="G52" s="262"/>
      <c r="H52" s="262"/>
      <c r="I52" s="262"/>
      <c r="J52" s="262"/>
      <c r="S52" s="149" t="s">
        <v>153</v>
      </c>
      <c r="T52" s="150"/>
      <c r="U52" s="150"/>
      <c r="V52" s="125">
        <v>87</v>
      </c>
      <c r="W52" s="151" t="s">
        <v>155</v>
      </c>
      <c r="X52" s="150"/>
      <c r="Y52" s="150"/>
      <c r="Z52" s="138">
        <f>V52*V53*V53/1000</f>
        <v>0.2864106153520004</v>
      </c>
    </row>
    <row r="53" spans="1:26" ht="14.25">
      <c r="A53" s="262"/>
      <c r="B53" s="262"/>
      <c r="C53" s="262"/>
      <c r="D53" s="262"/>
      <c r="E53" s="262"/>
      <c r="F53" s="262"/>
      <c r="G53" s="262"/>
      <c r="H53" s="262"/>
      <c r="I53" s="262"/>
      <c r="J53" s="262"/>
      <c r="S53" s="152" t="s">
        <v>154</v>
      </c>
      <c r="T53" s="150"/>
      <c r="U53" s="150"/>
      <c r="V53" s="125">
        <f>SQRT(B36*B36-H6*H6)</f>
        <v>1.8144079030165021</v>
      </c>
      <c r="W53" s="158"/>
      <c r="X53" s="150"/>
      <c r="Y53" s="150"/>
      <c r="Z53" s="137"/>
    </row>
    <row r="54" spans="1:26" ht="15" thickBot="1">
      <c r="A54" s="262"/>
      <c r="B54" s="262"/>
      <c r="C54" s="262"/>
      <c r="D54" s="262"/>
      <c r="E54" s="262"/>
      <c r="F54" s="262"/>
      <c r="G54" s="262"/>
      <c r="H54" s="262"/>
      <c r="I54" s="262"/>
      <c r="J54" s="262"/>
      <c r="S54" s="167" t="s">
        <v>143</v>
      </c>
      <c r="T54" s="160"/>
      <c r="U54" s="160"/>
      <c r="V54" s="155" t="s">
        <v>156</v>
      </c>
      <c r="W54" s="156"/>
      <c r="X54" s="156"/>
      <c r="Y54" s="156"/>
      <c r="Z54" s="157"/>
    </row>
    <row r="55" spans="1:26" ht="14.25">
      <c r="A55" s="262"/>
      <c r="B55" s="262"/>
      <c r="C55" s="262"/>
      <c r="D55" s="262"/>
      <c r="E55" s="262"/>
      <c r="F55" s="262"/>
      <c r="G55" s="262"/>
      <c r="H55" s="262"/>
      <c r="I55" s="262"/>
      <c r="J55" s="262"/>
      <c r="S55" s="288" t="s">
        <v>149</v>
      </c>
      <c r="T55" s="162"/>
      <c r="U55" s="162"/>
      <c r="V55" s="162"/>
      <c r="W55" s="162"/>
      <c r="X55" s="162"/>
      <c r="Y55" s="162"/>
      <c r="Z55" s="163"/>
    </row>
    <row r="56" spans="1:26" ht="15" thickBot="1">
      <c r="A56" s="262"/>
      <c r="B56" s="262"/>
      <c r="C56" s="262"/>
      <c r="D56" s="262"/>
      <c r="E56" s="262"/>
      <c r="F56" s="262"/>
      <c r="G56" s="262"/>
      <c r="H56" s="262"/>
      <c r="I56" s="262"/>
      <c r="J56" s="262"/>
      <c r="S56" s="164"/>
      <c r="T56" s="165"/>
      <c r="U56" s="165"/>
      <c r="V56" s="165"/>
      <c r="W56" s="165"/>
      <c r="X56" s="165"/>
      <c r="Y56" s="165"/>
      <c r="Z56" s="166"/>
    </row>
    <row r="57" spans="1:26" ht="15" thickBot="1">
      <c r="A57" s="262"/>
      <c r="B57" s="262"/>
      <c r="C57" s="262"/>
      <c r="D57" s="262"/>
      <c r="E57" s="262"/>
      <c r="F57" s="262"/>
      <c r="G57" s="262"/>
      <c r="H57" s="262"/>
      <c r="I57" s="262"/>
      <c r="J57" s="262"/>
      <c r="S57" s="285"/>
      <c r="T57" s="160"/>
      <c r="U57" s="160"/>
      <c r="V57" s="160"/>
      <c r="W57" s="160"/>
      <c r="X57" s="160"/>
      <c r="Y57" s="286">
        <f>H10/(H10+Z48+Z52+Z15+Z8+Z35+Z24)</f>
        <v>0.7827453176495058</v>
      </c>
      <c r="Z57" s="287"/>
    </row>
    <row r="58" spans="1:10" ht="14.25">
      <c r="A58" s="262"/>
      <c r="B58" s="262"/>
      <c r="C58" s="262"/>
      <c r="D58" s="262"/>
      <c r="E58" s="262"/>
      <c r="F58" s="262"/>
      <c r="G58" s="262"/>
      <c r="H58" s="262"/>
      <c r="I58" s="262"/>
      <c r="J58" s="262"/>
    </row>
    <row r="59" spans="1:10" ht="14.25">
      <c r="A59" s="262"/>
      <c r="B59" s="262"/>
      <c r="C59" s="262"/>
      <c r="D59" s="262"/>
      <c r="E59" s="262"/>
      <c r="F59" s="262"/>
      <c r="G59" s="262"/>
      <c r="H59" s="262"/>
      <c r="I59" s="262"/>
      <c r="J59" s="262"/>
    </row>
    <row r="72" ht="15" thickBot="1"/>
    <row r="73" spans="3:11" ht="14.25">
      <c r="C73" s="187" t="s">
        <v>110</v>
      </c>
      <c r="D73" s="180"/>
      <c r="E73" s="45">
        <v>264</v>
      </c>
      <c r="F73" s="179" t="s">
        <v>113</v>
      </c>
      <c r="G73" s="180"/>
      <c r="H73" s="30">
        <f>E73*1.414*0.7</f>
        <v>261.30719999999997</v>
      </c>
      <c r="I73" s="179" t="s">
        <v>114</v>
      </c>
      <c r="J73" s="180"/>
      <c r="K73" s="35">
        <f>1.414*E73</f>
        <v>373.296</v>
      </c>
    </row>
    <row r="74" spans="3:11" ht="14.25">
      <c r="C74" s="188" t="s">
        <v>109</v>
      </c>
      <c r="D74" s="181"/>
      <c r="E74" s="34">
        <f>H5</f>
        <v>5</v>
      </c>
      <c r="F74" s="181" t="s">
        <v>112</v>
      </c>
      <c r="G74" s="181"/>
      <c r="H74" s="31">
        <f>E41/E42</f>
        <v>16</v>
      </c>
      <c r="I74" s="181" t="s">
        <v>116</v>
      </c>
      <c r="J74" s="181"/>
      <c r="K74" s="36">
        <f>H74*(E74+H13)</f>
        <v>88</v>
      </c>
    </row>
    <row r="75" spans="3:11" ht="14.25">
      <c r="C75" s="188" t="s">
        <v>111</v>
      </c>
      <c r="D75" s="181"/>
      <c r="E75" s="33">
        <f>K74/(H73+K74)</f>
        <v>0.2519272434121026</v>
      </c>
      <c r="F75" s="182" t="s">
        <v>118</v>
      </c>
      <c r="G75" s="181"/>
      <c r="H75" s="32">
        <f>E10/E73/0.633</f>
        <v>0.21120037847107823</v>
      </c>
      <c r="I75" s="182" t="s">
        <v>119</v>
      </c>
      <c r="J75" s="181"/>
      <c r="K75" s="37">
        <f>H75*1000</f>
        <v>211.20037847107824</v>
      </c>
    </row>
    <row r="76" spans="3:11" ht="15" thickBot="1">
      <c r="C76" s="189"/>
      <c r="D76" s="178"/>
      <c r="E76" s="46"/>
      <c r="F76" s="177" t="s">
        <v>117</v>
      </c>
      <c r="G76" s="178"/>
      <c r="H76" s="47">
        <f>E10/E73/0.486</f>
        <v>0.27508197442837967</v>
      </c>
      <c r="I76" s="177" t="s">
        <v>120</v>
      </c>
      <c r="J76" s="178"/>
      <c r="K76" s="48">
        <f>H76*1000</f>
        <v>275.0819744283797</v>
      </c>
    </row>
    <row r="77" spans="3:7" ht="14.25">
      <c r="C77" s="185"/>
      <c r="D77" s="185"/>
      <c r="F77" s="185"/>
      <c r="G77" s="185"/>
    </row>
    <row r="78" spans="3:7" ht="14.25">
      <c r="C78" s="185"/>
      <c r="D78" s="185"/>
      <c r="F78" s="185"/>
      <c r="G78" s="185"/>
    </row>
    <row r="79" spans="3:7" ht="14.25">
      <c r="C79" s="185"/>
      <c r="D79" s="185"/>
      <c r="F79" s="186" t="s">
        <v>115</v>
      </c>
      <c r="G79" s="185"/>
    </row>
  </sheetData>
  <sheetProtection/>
  <mergeCells count="213">
    <mergeCell ref="S57:T57"/>
    <mergeCell ref="U57:V57"/>
    <mergeCell ref="W57:X57"/>
    <mergeCell ref="Y57:Z57"/>
    <mergeCell ref="S55:Z56"/>
    <mergeCell ref="W48:Y48"/>
    <mergeCell ref="S52:U52"/>
    <mergeCell ref="S53:U53"/>
    <mergeCell ref="S54:U54"/>
    <mergeCell ref="W52:Y52"/>
    <mergeCell ref="AA31:AF35"/>
    <mergeCell ref="S36:U36"/>
    <mergeCell ref="V36:Z36"/>
    <mergeCell ref="S11:Z12"/>
    <mergeCell ref="W22:Y22"/>
    <mergeCell ref="W23:Y23"/>
    <mergeCell ref="W19:Y19"/>
    <mergeCell ref="S20:U20"/>
    <mergeCell ref="W20:Y20"/>
    <mergeCell ref="S21:U21"/>
    <mergeCell ref="S49:U49"/>
    <mergeCell ref="W41:Y41"/>
    <mergeCell ref="W42:Y42"/>
    <mergeCell ref="S10:U10"/>
    <mergeCell ref="W10:Y10"/>
    <mergeCell ref="S34:U34"/>
    <mergeCell ref="W34:Y34"/>
    <mergeCell ref="W49:Y49"/>
    <mergeCell ref="S33:U33"/>
    <mergeCell ref="W15:Y15"/>
    <mergeCell ref="S1:Z3"/>
    <mergeCell ref="S25:Z26"/>
    <mergeCell ref="S17:Z18"/>
    <mergeCell ref="S37:Z38"/>
    <mergeCell ref="S8:U8"/>
    <mergeCell ref="S48:U48"/>
    <mergeCell ref="W44:Y44"/>
    <mergeCell ref="W45:Y45"/>
    <mergeCell ref="W46:Y46"/>
    <mergeCell ref="W47:Y47"/>
    <mergeCell ref="W53:Y53"/>
    <mergeCell ref="C1:J3"/>
    <mergeCell ref="I8:J8"/>
    <mergeCell ref="I10:J10"/>
    <mergeCell ref="S28:U28"/>
    <mergeCell ref="W33:Y33"/>
    <mergeCell ref="W35:Y35"/>
    <mergeCell ref="W8:Y8"/>
    <mergeCell ref="S9:U9"/>
    <mergeCell ref="W9:Y9"/>
    <mergeCell ref="C22:D22"/>
    <mergeCell ref="F22:G22"/>
    <mergeCell ref="I36:J36"/>
    <mergeCell ref="I37:J37"/>
    <mergeCell ref="I33:J33"/>
    <mergeCell ref="I34:J34"/>
    <mergeCell ref="I35:J35"/>
    <mergeCell ref="I26:J26"/>
    <mergeCell ref="C23:D23"/>
    <mergeCell ref="C24:D24"/>
    <mergeCell ref="A21:B21"/>
    <mergeCell ref="A52:J59"/>
    <mergeCell ref="I44:L44"/>
    <mergeCell ref="C34:D34"/>
    <mergeCell ref="F34:G34"/>
    <mergeCell ref="C31:D31"/>
    <mergeCell ref="I27:J27"/>
    <mergeCell ref="I29:J29"/>
    <mergeCell ref="I31:J31"/>
    <mergeCell ref="I32:J32"/>
    <mergeCell ref="I41:L41"/>
    <mergeCell ref="I42:L42"/>
    <mergeCell ref="I43:L43"/>
    <mergeCell ref="A41:B41"/>
    <mergeCell ref="A43:B43"/>
    <mergeCell ref="A44:B44"/>
    <mergeCell ref="I21:J21"/>
    <mergeCell ref="I22:J22"/>
    <mergeCell ref="I23:J23"/>
    <mergeCell ref="I24:J24"/>
    <mergeCell ref="I25:J25"/>
    <mergeCell ref="C14:J14"/>
    <mergeCell ref="C16:J16"/>
    <mergeCell ref="C17:J17"/>
    <mergeCell ref="C15:J15"/>
    <mergeCell ref="F25:G25"/>
    <mergeCell ref="I11:J11"/>
    <mergeCell ref="I13:J13"/>
    <mergeCell ref="I4:J4"/>
    <mergeCell ref="I5:J5"/>
    <mergeCell ref="I6:J6"/>
    <mergeCell ref="I7:J7"/>
    <mergeCell ref="I9:J9"/>
    <mergeCell ref="I12:J12"/>
    <mergeCell ref="F4:H4"/>
    <mergeCell ref="C5:D5"/>
    <mergeCell ref="C6:D6"/>
    <mergeCell ref="C8:D8"/>
    <mergeCell ref="C10:D10"/>
    <mergeCell ref="F8:G8"/>
    <mergeCell ref="F10:G10"/>
    <mergeCell ref="F5:G5"/>
    <mergeCell ref="F6:G6"/>
    <mergeCell ref="C4:E4"/>
    <mergeCell ref="C21:D21"/>
    <mergeCell ref="F20:G20"/>
    <mergeCell ref="C11:D11"/>
    <mergeCell ref="F11:G11"/>
    <mergeCell ref="C7:D7"/>
    <mergeCell ref="F7:G7"/>
    <mergeCell ref="F9:G9"/>
    <mergeCell ref="C9:D9"/>
    <mergeCell ref="F23:G23"/>
    <mergeCell ref="A29:B29"/>
    <mergeCell ref="C12:D12"/>
    <mergeCell ref="F12:G12"/>
    <mergeCell ref="C19:H19"/>
    <mergeCell ref="C18:H18"/>
    <mergeCell ref="F21:G21"/>
    <mergeCell ref="F13:G13"/>
    <mergeCell ref="C13:D13"/>
    <mergeCell ref="C20:D20"/>
    <mergeCell ref="F26:G26"/>
    <mergeCell ref="F27:G27"/>
    <mergeCell ref="F24:G24"/>
    <mergeCell ref="C25:D25"/>
    <mergeCell ref="C26:D26"/>
    <mergeCell ref="C27:D27"/>
    <mergeCell ref="B33:B34"/>
    <mergeCell ref="F35:G35"/>
    <mergeCell ref="C36:D36"/>
    <mergeCell ref="F36:G36"/>
    <mergeCell ref="A40:B40"/>
    <mergeCell ref="F44:G44"/>
    <mergeCell ref="F41:G41"/>
    <mergeCell ref="F42:G42"/>
    <mergeCell ref="F43:G43"/>
    <mergeCell ref="A42:B42"/>
    <mergeCell ref="C37:D37"/>
    <mergeCell ref="C33:D33"/>
    <mergeCell ref="F33:G33"/>
    <mergeCell ref="F37:G37"/>
    <mergeCell ref="C30:D30"/>
    <mergeCell ref="F32:G32"/>
    <mergeCell ref="F30:G30"/>
    <mergeCell ref="F31:G31"/>
    <mergeCell ref="C32:D32"/>
    <mergeCell ref="C35:D35"/>
    <mergeCell ref="C75:D75"/>
    <mergeCell ref="C76:D76"/>
    <mergeCell ref="C77:D77"/>
    <mergeCell ref="C78:D78"/>
    <mergeCell ref="I38:J38"/>
    <mergeCell ref="F38:G38"/>
    <mergeCell ref="C38:D38"/>
    <mergeCell ref="B46:C46"/>
    <mergeCell ref="D46:E46"/>
    <mergeCell ref="F46:G46"/>
    <mergeCell ref="C79:D79"/>
    <mergeCell ref="F73:G73"/>
    <mergeCell ref="F74:G74"/>
    <mergeCell ref="F75:G75"/>
    <mergeCell ref="F76:G76"/>
    <mergeCell ref="F77:G77"/>
    <mergeCell ref="F78:G78"/>
    <mergeCell ref="F79:G79"/>
    <mergeCell ref="C73:D73"/>
    <mergeCell ref="C74:D74"/>
    <mergeCell ref="S6:Z7"/>
    <mergeCell ref="I20:J20"/>
    <mergeCell ref="I76:J76"/>
    <mergeCell ref="I73:J73"/>
    <mergeCell ref="I74:J74"/>
    <mergeCell ref="I75:J75"/>
    <mergeCell ref="I30:J30"/>
    <mergeCell ref="W21:Y21"/>
    <mergeCell ref="S27:U27"/>
    <mergeCell ref="W27:Y27"/>
    <mergeCell ref="W28:Y28"/>
    <mergeCell ref="S29:U29"/>
    <mergeCell ref="W29:Y29"/>
    <mergeCell ref="S19:U19"/>
    <mergeCell ref="W39:Y39"/>
    <mergeCell ref="S39:U39"/>
    <mergeCell ref="S47:U47"/>
    <mergeCell ref="S16:U16"/>
    <mergeCell ref="V16:Z16"/>
    <mergeCell ref="S30:U30"/>
    <mergeCell ref="W30:Y30"/>
    <mergeCell ref="S31:U31"/>
    <mergeCell ref="S22:U22"/>
    <mergeCell ref="S23:U23"/>
    <mergeCell ref="S24:U24"/>
    <mergeCell ref="S45:U45"/>
    <mergeCell ref="V54:Z54"/>
    <mergeCell ref="S13:U13"/>
    <mergeCell ref="W13:Y13"/>
    <mergeCell ref="S14:U14"/>
    <mergeCell ref="W14:Y14"/>
    <mergeCell ref="S15:U15"/>
    <mergeCell ref="W24:Y24"/>
    <mergeCell ref="S40:U40"/>
    <mergeCell ref="S41:U41"/>
    <mergeCell ref="S50:Z51"/>
    <mergeCell ref="S44:U44"/>
    <mergeCell ref="W31:Y31"/>
    <mergeCell ref="S32:U32"/>
    <mergeCell ref="W32:Y32"/>
    <mergeCell ref="W43:Y43"/>
    <mergeCell ref="S46:U46"/>
    <mergeCell ref="W40:Y40"/>
    <mergeCell ref="S42:U42"/>
    <mergeCell ref="S43:U43"/>
  </mergeCells>
  <printOptions horizontalCentered="1" verticalCentered="1"/>
  <pageMargins left="0.3937007874015748" right="0.3937007874015748" top="0.3937007874015748" bottom="0.3937007874015748" header="0.5118110236220472" footer="0.393700787401574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2010-11-23T08:18:29Z</cp:lastPrinted>
  <dcterms:created xsi:type="dcterms:W3CDTF">1996-12-17T01:32:42Z</dcterms:created>
  <dcterms:modified xsi:type="dcterms:W3CDTF">2015-07-22T01:46:42Z</dcterms:modified>
  <cp:category/>
  <cp:version/>
  <cp:contentType/>
  <cp:contentStatus/>
</cp:coreProperties>
</file>